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<sst xmlns="http://schemas.openxmlformats.org/spreadsheetml/2006/main" count="597" uniqueCount="203">
  <si>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</si>
  <si>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</si>
  <si>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</si>
  <si>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</si>
  <si>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</si>
  <si>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</si>
  <si>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</si>
  <si>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</si>
  <si>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</si>
  <si>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</si>
  <si>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</si>
  <si>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</si>
  <si>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</si>
  <si>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</si>
  <si>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</si>
  <si>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</si>
  <si>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</si>
  <si>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</si>
  <si>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</si>
  <si>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</si>
  <si>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</si>
  <si>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</si>
  <si>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</si>
  <si>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</si>
  <si>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</si>
  <si>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</si>
  <si>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</si>
  <si>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</si>
  <si>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</si>
  <si>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</si>
  <si>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</si>
  <si>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</si>
  <si>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</si>
  <si>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</si>
  <si>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</si>
  <si>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</si>
  <si>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</si>
  <si>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</si>
  <si>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</si>
  <si>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</si>
  <si>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</si>
  <si>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</si>
  <si>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</si>
  <si>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</si>
  <si>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</si>
  <si>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</si>
  <si>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</si>
  <si>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</si>
  <si>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</si>
  <si>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</si>
  <si>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</si>
  <si>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</si>
  <si>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</si>
  <si>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</si>
  <si>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</si>
  <si>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</si>
  <si>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</si>
  <si>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</si>
  <si>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</si>
  <si>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</si>
  <si>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</si>
  <si>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</si>
  <si>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</si>
  <si>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</si>
  <si>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</si>
  <si>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</si>
  <si>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</si>
  <si>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</si>
  <si>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</si>
  <si>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</si>
  <si>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</si>
  <si>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</si>
  <si>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</si>
  <si>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</si>
  <si>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</si>
  <si>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</si>
  <si>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</si>
  <si>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</si>
  <si>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</si>
  <si>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</si>
  <si>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</si>
  <si>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</si>
  <si>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</si>
  <si>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</si>
  <si>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</si>
  <si>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</si>
  <si>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</si>
  <si>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</si>
  <si>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</si>
  <si>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</si>
  <si>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</si>
  <si>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</si>
  <si>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</si>
  <si>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</si>
  <si>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</si>
  <si>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</si>
  <si>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</si>
  <si>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</si>
  <si>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</si>
  <si>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</si>
  <si>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</si>
  <si>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</si>
  <si>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</si>
  <si>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</si>
  <si>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</si>
  <si>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</si>
  <si>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</si>
  <si>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</si>
  <si>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</si>
  <si>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</si>
  <si>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</si>
  <si>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</si>
  <si>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</si>
  <si>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</si>
  <si>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</si>
  <si>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</si>
  <si>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</si>
  <si>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</si>
  <si>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</si>
  <si>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</si>
  <si>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</si>
  <si>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</si>
  <si>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</si>
  <si>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</si>
  <si>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</si>
  <si>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</si>
  <si>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</si>
  <si>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</si>
  <si>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</si>
  <si>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</si>
  <si>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</si>
  <si>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</si>
  <si>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</si>
  <si>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</si>
  <si>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</si>
  <si>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</si>
  <si>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</si>
  <si>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</si>
  <si>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</si>
  <si>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</si>
  <si>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</si>
  <si>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</si>
  <si>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</si>
  <si>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</si>
  <si>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</si>
  <si>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</si>
  <si>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</si>
  <si>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</si>
  <si>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</si>
  <si>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</si>
  <si>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</si>
  <si>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</si>
  <si>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</si>
  <si>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</si>
  <si>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</si>
  <si>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</si>
  <si>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</si>
  <si>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</si>
  <si>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</si>
  <si>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</si>
  <si>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</si>
  <si>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</si>
  <si>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</si>
  <si>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</si>
  <si>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</si>
  <si>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</si>
  <si>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</si>
  <si>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</si>
  <si>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</si>
  <si>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</si>
  <si>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</si>
  <si>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</si>
  <si>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</si>
  <si>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</si>
  <si>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</si>
  <si>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</si>
  <si>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</si>
  <si>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</si>
  <si>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</si>
  <si>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</si>
  <si>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</si>
  <si>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</si>
  <si>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</si>
  <si>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</si>
  <si>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</si>
  <si>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</si>
  <si>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</si>
  <si>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</si>
  <si>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</si>
  <si>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</si>
  <si>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</si>
  <si>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 xml:space="preserve">затверджений план на січень  місяць  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</si>
  <si>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</si>
  <si>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</si>
  <si>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</si>
  <si>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Затверджений план на січень-березень</t>
  </si>
  <si>
    <t>Необхідно ще отримати до плану на січень-березень</t>
  </si>
  <si>
    <t>% виконання до плану на січень-березень</t>
  </si>
  <si>
    <t>Динаміка  фактичних надходжень січень-березень 2013 та 2014 років</t>
  </si>
  <si>
    <t xml:space="preserve">Затверджений план на березень  місяць  </t>
  </si>
  <si>
    <t>Динаміка  фактичних надходжень березень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</si>
  <si>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05.03.2014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</si>
  <si>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04.03.14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</si>
</sst>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4" fillId="0" borderId="0" xfId="20" applyFont="1" applyFill="1" applyBorder="1" applyAlignment="1" applyProtection="1">
      <alignment horizontal="center" wrapText="1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7" fillId="0" borderId="0" xfId="20" applyNumberFormat="1" applyFont="1" applyFill="1" applyBorder="1" applyAlignment="1" applyProtection="1">
      <alignment horizontal="center" wrapText="1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6">
        <row r="6">
          <cell r="G6">
            <v>122243914.89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108418692.93</v>
          </cell>
        </row>
      </sheetData>
      <sheetData sheetId="18">
        <row r="28">
          <cell r="C28">
            <v>3384509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38" sqref="F13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0.875" style="131" hidden="1" customWidth="1"/>
    <col min="19" max="16384" width="9.125" style="4" customWidth="1"/>
  </cols>
  <sheetData>
    <row r="1" spans="1:18" s="1" customFormat="1" ht="26.25" customHeight="1">
      <c r="A1" s="179" t="s">
        <v>201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8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81"/>
      <c r="B3" s="183"/>
      <c r="C3" s="184" t="s">
        <v>0</v>
      </c>
      <c r="D3" s="185" t="s">
        <v>186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199</v>
      </c>
      <c r="N3" s="172" t="s">
        <v>184</v>
      </c>
      <c r="O3" s="172"/>
      <c r="P3" s="172"/>
      <c r="Q3" s="127"/>
      <c r="R3" s="130"/>
    </row>
    <row r="4" spans="1:18" ht="22.5" customHeight="1">
      <c r="A4" s="181"/>
      <c r="B4" s="183"/>
      <c r="C4" s="184"/>
      <c r="D4" s="185"/>
      <c r="E4" s="190" t="s">
        <v>190</v>
      </c>
      <c r="F4" s="173" t="s">
        <v>116</v>
      </c>
      <c r="G4" s="175" t="s">
        <v>196</v>
      </c>
      <c r="H4" s="177" t="s">
        <v>197</v>
      </c>
      <c r="I4" s="170" t="s">
        <v>187</v>
      </c>
      <c r="J4" s="166" t="s">
        <v>188</v>
      </c>
      <c r="K4" s="125" t="s">
        <v>173</v>
      </c>
      <c r="L4" s="132" t="s">
        <v>172</v>
      </c>
      <c r="M4" s="189"/>
      <c r="N4" s="168" t="s">
        <v>202</v>
      </c>
      <c r="O4" s="170" t="s">
        <v>136</v>
      </c>
      <c r="P4" s="172" t="s">
        <v>135</v>
      </c>
      <c r="Q4" s="133" t="s">
        <v>173</v>
      </c>
      <c r="R4" s="134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198</v>
      </c>
      <c r="L5" s="164"/>
      <c r="M5" s="189"/>
      <c r="N5" s="169"/>
      <c r="O5" s="171"/>
      <c r="P5" s="172"/>
      <c r="Q5" s="153" t="s">
        <v>200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169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114957.60000000002</v>
      </c>
      <c r="F8" s="22">
        <f>F10+F19+F33+F56+F68+F30</f>
        <v>70879.84000000001</v>
      </c>
      <c r="G8" s="22">
        <f aca="true" t="shared" si="0" ref="G8:G30">F8-E8</f>
        <v>-44077.76000000001</v>
      </c>
      <c r="H8" s="51">
        <f>F8/E8*100</f>
        <v>61.65737628482153</v>
      </c>
      <c r="I8" s="36">
        <f aca="true" t="shared" si="1" ref="I8:I17">F8-D8</f>
        <v>-448449.45999999996</v>
      </c>
      <c r="J8" s="36">
        <f aca="true" t="shared" si="2" ref="J8:J14">F8/D8*100</f>
        <v>13.64834219829307</v>
      </c>
      <c r="K8" s="36">
        <f>F8-110917.9</f>
        <v>-40038.05999999998</v>
      </c>
      <c r="L8" s="138">
        <f>F8/110917.9</f>
        <v>0.6390297688650797</v>
      </c>
      <c r="M8" s="22">
        <f>M10+M19+M33+M56+M68+M30</f>
        <v>40892.80000000001</v>
      </c>
      <c r="N8" s="22">
        <f>N10+N19+N33+N56+N68+N30</f>
        <v>1566.5900000000026</v>
      </c>
      <c r="O8" s="36">
        <f aca="true" t="shared" si="3" ref="O8:O71">N8-M8</f>
        <v>-39326.21000000001</v>
      </c>
      <c r="P8" s="36">
        <f>F8/M8*100</f>
        <v>173.33085530949214</v>
      </c>
      <c r="Q8" s="36">
        <f>N8-38977.9</f>
        <v>-37411.31</v>
      </c>
      <c r="R8" s="136">
        <f>N8/31977.9</f>
        <v>0.048989771060638836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56064.4</v>
      </c>
      <c r="G9" s="22">
        <f t="shared" si="0"/>
        <v>56064.4</v>
      </c>
      <c r="H9" s="20"/>
      <c r="I9" s="56">
        <f t="shared" si="1"/>
        <v>-362301.8</v>
      </c>
      <c r="J9" s="56">
        <f t="shared" si="2"/>
        <v>13.400795762181552</v>
      </c>
      <c r="K9" s="56"/>
      <c r="L9" s="137"/>
      <c r="M9" s="20">
        <f>M10+M17</f>
        <v>33586.40000000001</v>
      </c>
      <c r="N9" s="20">
        <f>N10+N17</f>
        <v>1318.4100000000035</v>
      </c>
      <c r="O9" s="36">
        <f t="shared" si="3"/>
        <v>-32267.990000000005</v>
      </c>
      <c r="P9" s="56">
        <f>F9/M9*100</f>
        <v>166.92589857799584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56064.4</v>
      </c>
      <c r="G10" s="49">
        <f t="shared" si="0"/>
        <v>-37392.200000000004</v>
      </c>
      <c r="H10" s="40">
        <f aca="true" t="shared" si="4" ref="H10:H17">F10/E10*100</f>
        <v>59.98977065290199</v>
      </c>
      <c r="I10" s="56">
        <f t="shared" si="1"/>
        <v>-362301.8</v>
      </c>
      <c r="J10" s="56">
        <f t="shared" si="2"/>
        <v>13.400795762181552</v>
      </c>
      <c r="K10" s="56">
        <f>F10-85215.1</f>
        <v>-29150.700000000004</v>
      </c>
      <c r="L10" s="137">
        <f>F10/85215.1</f>
        <v>0.6579162613198835</v>
      </c>
      <c r="M10" s="40">
        <f>E10-лютий!E10</f>
        <v>33586.40000000001</v>
      </c>
      <c r="N10" s="40">
        <f>F10-лютий!F10</f>
        <v>1318.4100000000035</v>
      </c>
      <c r="O10" s="53">
        <f t="shared" si="3"/>
        <v>-32267.990000000005</v>
      </c>
      <c r="P10" s="56">
        <f aca="true" t="shared" si="5" ref="P10:P17">N10/M10*100</f>
        <v>3.925428149489088</v>
      </c>
      <c r="Q10" s="143">
        <f>N10-28390.4</f>
        <v>-27071.989999999998</v>
      </c>
      <c r="R10" s="144">
        <f>N10/28390.4</f>
        <v>0.046438584873760264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7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7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7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7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7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7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7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7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770.29</v>
      </c>
      <c r="G19" s="49">
        <f t="shared" si="0"/>
        <v>-458.30999999999995</v>
      </c>
      <c r="H19" s="40">
        <f aca="true" t="shared" si="6" ref="H19:H29">F19/E19*100</f>
        <v>62.696565196158225</v>
      </c>
      <c r="I19" s="56">
        <f aca="true" t="shared" si="7" ref="I19:I29">F19-D19</f>
        <v>-5229.71</v>
      </c>
      <c r="J19" s="56">
        <f aca="true" t="shared" si="8" ref="J19:J29">F19/D19*100</f>
        <v>12.838166666666668</v>
      </c>
      <c r="K19" s="56">
        <f>F19-4285.5</f>
        <v>-3515.21</v>
      </c>
      <c r="L19" s="137">
        <f>F19/4285.5</f>
        <v>0.1797433204993583</v>
      </c>
      <c r="M19" s="40">
        <f>E19-лютий!E19</f>
        <v>510.9999999999999</v>
      </c>
      <c r="N19" s="40">
        <f>F19-лютий!F19</f>
        <v>31.17999999999995</v>
      </c>
      <c r="O19" s="53">
        <f t="shared" si="3"/>
        <v>-479.81999999999994</v>
      </c>
      <c r="P19" s="56">
        <f aca="true" t="shared" si="9" ref="P19:P28">N19/M19*100</f>
        <v>6.101761252446176</v>
      </c>
      <c r="Q19" s="56">
        <f>N19-3681.4</f>
        <v>-3650.2200000000003</v>
      </c>
      <c r="R19" s="137">
        <f>N19/3681.4</f>
        <v>0.0084696039550171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7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7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7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7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7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7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7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7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7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7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7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7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7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7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7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7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7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7">
        <f t="shared" si="13"/>
        <v>0</v>
      </c>
    </row>
    <row r="29" spans="1:18" s="6" customFormat="1" ht="15.75">
      <c r="A29" s="8"/>
      <c r="B29" s="76" t="s">
        <v>180</v>
      </c>
      <c r="C29" s="145">
        <v>11010232</v>
      </c>
      <c r="D29" s="146">
        <v>3000</v>
      </c>
      <c r="E29" s="146">
        <v>728.6</v>
      </c>
      <c r="F29" s="148">
        <v>717.64</v>
      </c>
      <c r="G29" s="49">
        <f t="shared" si="0"/>
        <v>-10.960000000000036</v>
      </c>
      <c r="H29" s="40">
        <f t="shared" si="6"/>
        <v>98.49574526489157</v>
      </c>
      <c r="I29" s="56">
        <f t="shared" si="7"/>
        <v>-2282.36</v>
      </c>
      <c r="J29" s="56">
        <f t="shared" si="8"/>
        <v>23.921333333333333</v>
      </c>
      <c r="K29" s="150">
        <f>F29-731.3</f>
        <v>-13.659999999999968</v>
      </c>
      <c r="L29" s="151">
        <f>F29/731.3</f>
        <v>0.9813209353206619</v>
      </c>
      <c r="M29" s="148">
        <f>E29-лютий!E29</f>
        <v>12.600000000000023</v>
      </c>
      <c r="N29" s="148">
        <f>F29-лютий!F29</f>
        <v>0</v>
      </c>
      <c r="O29" s="150"/>
      <c r="P29" s="56"/>
      <c r="Q29" s="56">
        <f>N29-162.6</f>
        <v>-162.6</v>
      </c>
      <c r="R29" s="137">
        <f>N29/162.6</f>
        <v>0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51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N30-25.1</f>
        <v>-25.1</v>
      </c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7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7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18578.2</v>
      </c>
      <c r="F33" s="40">
        <v>12932.55</v>
      </c>
      <c r="G33" s="49">
        <f aca="true" t="shared" si="14" ref="G33:G72">F33-E33</f>
        <v>-5645.6500000000015</v>
      </c>
      <c r="H33" s="40">
        <f aca="true" t="shared" si="15" ref="H33:H67">F33/E33*100</f>
        <v>69.61142629533539</v>
      </c>
      <c r="I33" s="56">
        <f>F33-D33</f>
        <v>-75133.45</v>
      </c>
      <c r="J33" s="56">
        <f aca="true" t="shared" si="16" ref="J33:J72">F33/D33*100</f>
        <v>14.685065746144934</v>
      </c>
      <c r="K33" s="56">
        <f>F33-19762.7</f>
        <v>-6830.1500000000015</v>
      </c>
      <c r="L33" s="137">
        <f>F33/19762.7</f>
        <v>0.6543918594119223</v>
      </c>
      <c r="M33" s="40">
        <f>E33-лютий!E33</f>
        <v>6190</v>
      </c>
      <c r="N33" s="40">
        <f>F33-лютий!F33</f>
        <v>175.54999999999927</v>
      </c>
      <c r="O33" s="53">
        <f t="shared" si="3"/>
        <v>-6014.450000000001</v>
      </c>
      <c r="P33" s="56">
        <f aca="true" t="shared" si="17" ref="P33:P67">N33/M33*100</f>
        <v>2.836025848142153</v>
      </c>
      <c r="Q33" s="143">
        <f>N33-6362.9</f>
        <v>-6187.35</v>
      </c>
      <c r="R33" s="144">
        <f>N33/6362.9</f>
        <v>0.027589621084725405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7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3">
        <f aca="true" t="shared" si="21" ref="Q34:Q54">N34-6362.9</f>
        <v>-6362.9</v>
      </c>
      <c r="R34" s="144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7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3">
        <f t="shared" si="21"/>
        <v>-6362.9</v>
      </c>
      <c r="R35" s="144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7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3">
        <f t="shared" si="21"/>
        <v>-6362.9</v>
      </c>
      <c r="R36" s="144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7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3">
        <f t="shared" si="21"/>
        <v>-6362.9</v>
      </c>
      <c r="R37" s="144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7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3">
        <f t="shared" si="21"/>
        <v>-6362.9</v>
      </c>
      <c r="R38" s="144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7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3">
        <f t="shared" si="21"/>
        <v>-6362.9</v>
      </c>
      <c r="R39" s="144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7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3">
        <f t="shared" si="21"/>
        <v>-6362.9</v>
      </c>
      <c r="R40" s="144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7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3">
        <f t="shared" si="21"/>
        <v>-6362.9</v>
      </c>
      <c r="R41" s="144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7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3">
        <f t="shared" si="21"/>
        <v>-6362.9</v>
      </c>
      <c r="R42" s="144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7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3">
        <f t="shared" si="21"/>
        <v>-6362.9</v>
      </c>
      <c r="R43" s="144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7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3">
        <f t="shared" si="21"/>
        <v>-6362.9</v>
      </c>
      <c r="R44" s="144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7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3">
        <f t="shared" si="21"/>
        <v>-6362.9</v>
      </c>
      <c r="R45" s="144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7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3">
        <f t="shared" si="21"/>
        <v>-6362.9</v>
      </c>
      <c r="R46" s="144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7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3">
        <f t="shared" si="21"/>
        <v>-6362.9</v>
      </c>
      <c r="R47" s="144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7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3">
        <f t="shared" si="21"/>
        <v>-6362.9</v>
      </c>
      <c r="R48" s="144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7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3">
        <f t="shared" si="21"/>
        <v>-6362.9</v>
      </c>
      <c r="R49" s="144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7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3">
        <f t="shared" si="21"/>
        <v>-6362.9</v>
      </c>
      <c r="R50" s="144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7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3">
        <f t="shared" si="21"/>
        <v>-6362.9</v>
      </c>
      <c r="R51" s="144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7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3">
        <f t="shared" si="21"/>
        <v>-6362.9</v>
      </c>
      <c r="R52" s="144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7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3">
        <f t="shared" si="21"/>
        <v>-6362.9</v>
      </c>
      <c r="R53" s="144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7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3">
        <f t="shared" si="21"/>
        <v>-6362.9</v>
      </c>
      <c r="R54" s="144">
        <f t="shared" si="22"/>
        <v>0</v>
      </c>
    </row>
    <row r="55" spans="1:18" s="6" customFormat="1" ht="15.75">
      <c r="A55" s="8"/>
      <c r="B55" s="76" t="s">
        <v>181</v>
      </c>
      <c r="C55" s="65"/>
      <c r="D55" s="146">
        <f>56066+10200</f>
        <v>66266</v>
      </c>
      <c r="E55" s="146">
        <v>13737.9</v>
      </c>
      <c r="F55" s="148">
        <v>9641.47</v>
      </c>
      <c r="G55" s="146">
        <f t="shared" si="14"/>
        <v>-4096.43</v>
      </c>
      <c r="H55" s="148">
        <f t="shared" si="15"/>
        <v>70.1815415747676</v>
      </c>
      <c r="I55" s="147">
        <f t="shared" si="18"/>
        <v>-56624.53</v>
      </c>
      <c r="J55" s="147">
        <f t="shared" si="16"/>
        <v>14.549648386804694</v>
      </c>
      <c r="K55" s="150">
        <f>F55-14615.9</f>
        <v>-4974.43</v>
      </c>
      <c r="L55" s="151">
        <f>F55/14615.9</f>
        <v>0.6596562647527692</v>
      </c>
      <c r="M55" s="148">
        <f>E55-лютий!E55</f>
        <v>4237.9</v>
      </c>
      <c r="N55" s="148">
        <f>F55-лютий!F55</f>
        <v>161.35999999999876</v>
      </c>
      <c r="O55" s="150">
        <f t="shared" si="3"/>
        <v>-4076.540000000001</v>
      </c>
      <c r="P55" s="60">
        <f t="shared" si="17"/>
        <v>3.8075461903300876</v>
      </c>
      <c r="Q55" s="143">
        <f>N55-4413.4</f>
        <v>-4252.040000000001</v>
      </c>
      <c r="R55" s="144">
        <f>N55/4413.4</f>
        <v>0.036561381248017125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1108.91</v>
      </c>
      <c r="G56" s="49">
        <f t="shared" si="14"/>
        <v>-576.1899999999998</v>
      </c>
      <c r="H56" s="40">
        <f t="shared" si="15"/>
        <v>65.80677704587265</v>
      </c>
      <c r="I56" s="56">
        <f t="shared" si="18"/>
        <v>-5751.09</v>
      </c>
      <c r="J56" s="56">
        <f t="shared" si="16"/>
        <v>16.164868804664724</v>
      </c>
      <c r="K56" s="56">
        <f>F56-1629.5</f>
        <v>-520.5899999999999</v>
      </c>
      <c r="L56" s="137">
        <f>F56/1629.5</f>
        <v>0.6805216324025776</v>
      </c>
      <c r="M56" s="40">
        <f>E56-лютий!E56</f>
        <v>605.3999999999999</v>
      </c>
      <c r="N56" s="40">
        <f>F56-лютий!F56</f>
        <v>41.450000000000045</v>
      </c>
      <c r="O56" s="53">
        <f t="shared" si="3"/>
        <v>-563.9499999999998</v>
      </c>
      <c r="P56" s="56">
        <f t="shared" si="17"/>
        <v>6.846712917079626</v>
      </c>
      <c r="Q56" s="56">
        <f>N56-518.3</f>
        <v>-476.8499999999999</v>
      </c>
      <c r="R56" s="137">
        <f>N56/518.3</f>
        <v>0.0799729886166314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7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7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7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7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7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7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7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7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7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7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7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F68-0.3</f>
        <v>0.48000000000000004</v>
      </c>
      <c r="L68" s="137"/>
      <c r="M68" s="40">
        <f>E68-лютий!E68</f>
        <v>0</v>
      </c>
      <c r="N68" s="40">
        <f>F68-лютий!F68</f>
        <v>0</v>
      </c>
      <c r="O68" s="53">
        <f t="shared" si="3"/>
        <v>0</v>
      </c>
      <c r="P68" s="56"/>
      <c r="Q68" s="56">
        <f>N68-0.1</f>
        <v>-0.1</v>
      </c>
      <c r="R68" s="137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7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7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7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7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7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2135.07</v>
      </c>
      <c r="G74" s="50">
        <f aca="true" t="shared" si="24" ref="G74:G92">F74-E74</f>
        <v>-696.9299999999998</v>
      </c>
      <c r="H74" s="51">
        <f aca="true" t="shared" si="25" ref="H74:H87">F74/E74*100</f>
        <v>75.39088983050848</v>
      </c>
      <c r="I74" s="36">
        <f aca="true" t="shared" si="26" ref="I74:I92">F74-D74</f>
        <v>-15530.529999999999</v>
      </c>
      <c r="J74" s="36">
        <f aca="true" t="shared" si="27" ref="J74:J92">F74/D74*100</f>
        <v>12.086031609455668</v>
      </c>
      <c r="K74" s="36">
        <f>F74-3848.8</f>
        <v>-1713.73</v>
      </c>
      <c r="L74" s="138">
        <f>F74/3848.8</f>
        <v>0.5547365412596134</v>
      </c>
      <c r="M74" s="22">
        <f>M77+M86+M88+M89+M94+M95+M96+M97+M99+M87+M103</f>
        <v>965</v>
      </c>
      <c r="N74" s="22">
        <f>N77+N86+N88+N89+N94+N95+N96+N97+N99+N32+N103+N87</f>
        <v>30.54999999999992</v>
      </c>
      <c r="O74" s="55">
        <f aca="true" t="shared" si="28" ref="O74:O92">N74-M74</f>
        <v>-934.45</v>
      </c>
      <c r="P74" s="36">
        <f>N74/M74*100</f>
        <v>3.1658031088082814</v>
      </c>
      <c r="Q74" s="36">
        <f>N74-1790.3</f>
        <v>-1759.75</v>
      </c>
      <c r="R74" s="138">
        <f>N74/1790.3</f>
        <v>0.017064179187845568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7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7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7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6">N77/M77*100</f>
        <v>#DIV/0!</v>
      </c>
      <c r="Q77" s="56">
        <f>N77-1273</f>
        <v>-1264.96</v>
      </c>
      <c r="R77" s="137">
        <f>N77/1273</f>
        <v>0.006315789473684211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7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7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7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7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7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7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7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7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7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>
        <v>0</v>
      </c>
      <c r="F87" s="57">
        <v>97.38</v>
      </c>
      <c r="G87" s="49">
        <f t="shared" si="24"/>
        <v>97.38</v>
      </c>
      <c r="H87" s="40" t="e">
        <f t="shared" si="25"/>
        <v>#DIV/0!</v>
      </c>
      <c r="I87" s="56"/>
      <c r="J87" s="56"/>
      <c r="K87" s="56"/>
      <c r="L87" s="137"/>
      <c r="M87" s="40">
        <f>E87-лютий!E87</f>
        <v>0</v>
      </c>
      <c r="N87" s="40">
        <f>F87-лютий!F87</f>
        <v>0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7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19.41</v>
      </c>
      <c r="G89" s="49">
        <f t="shared" si="24"/>
        <v>-19.59</v>
      </c>
      <c r="H89" s="40">
        <f>F89/E89*100</f>
        <v>49.769230769230774</v>
      </c>
      <c r="I89" s="56">
        <f t="shared" si="26"/>
        <v>-155.59</v>
      </c>
      <c r="J89" s="56">
        <f t="shared" si="27"/>
        <v>11.09142857142857</v>
      </c>
      <c r="K89" s="56">
        <f>F89-47.5</f>
        <v>-28.09</v>
      </c>
      <c r="L89" s="137">
        <f>F89/47.5</f>
        <v>0.4086315789473684</v>
      </c>
      <c r="M89" s="40">
        <f>E89-лютий!E89</f>
        <v>15</v>
      </c>
      <c r="N89" s="40">
        <f>F89-лютий!F89</f>
        <v>0</v>
      </c>
      <c r="O89" s="53">
        <f t="shared" si="28"/>
        <v>-15</v>
      </c>
      <c r="P89" s="56">
        <f>N89/M89*100</f>
        <v>0</v>
      </c>
      <c r="Q89" s="56">
        <f>N89-19.8</f>
        <v>-19.8</v>
      </c>
      <c r="R89" s="137">
        <f>N89/19.8</f>
        <v>0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7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7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7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7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7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1190.04</v>
      </c>
      <c r="G95" s="49">
        <f t="shared" si="31"/>
        <v>-486.46000000000004</v>
      </c>
      <c r="H95" s="40">
        <f>F95/E95*100</f>
        <v>70.98359677900388</v>
      </c>
      <c r="I95" s="56">
        <f t="shared" si="32"/>
        <v>-5109.96</v>
      </c>
      <c r="J95" s="56">
        <f>F95/D95*100</f>
        <v>18.88952380952381</v>
      </c>
      <c r="K95" s="56">
        <f>F95-1478.7</f>
        <v>-288.6600000000001</v>
      </c>
      <c r="L95" s="137">
        <f>F95/1478.7</f>
        <v>0.8047879894501927</v>
      </c>
      <c r="M95" s="40">
        <f>E95-лютий!E95</f>
        <v>515</v>
      </c>
      <c r="N95" s="40">
        <f>F95-лютий!F95</f>
        <v>0.11999999999989086</v>
      </c>
      <c r="O95" s="53">
        <f t="shared" si="33"/>
        <v>-514.8800000000001</v>
      </c>
      <c r="P95" s="56">
        <f>N95/M95*100</f>
        <v>0.023300970873765214</v>
      </c>
      <c r="Q95" s="56">
        <f>N95-186.8</f>
        <v>-186.68000000000012</v>
      </c>
      <c r="R95" s="137">
        <f>N95/186.8</f>
        <v>0.0006423982869373172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134.48</v>
      </c>
      <c r="G96" s="49">
        <f t="shared" si="31"/>
        <v>-90.02000000000001</v>
      </c>
      <c r="H96" s="40">
        <f>F96/E96*100</f>
        <v>59.902004454342986</v>
      </c>
      <c r="I96" s="56">
        <f t="shared" si="32"/>
        <v>-1065.52</v>
      </c>
      <c r="J96" s="56">
        <f>F96/D96*100</f>
        <v>11.206666666666667</v>
      </c>
      <c r="K96" s="56">
        <f>F96-161.5</f>
        <v>-27.02000000000001</v>
      </c>
      <c r="L96" s="137">
        <f>F96/161.5</f>
        <v>0.8326934984520123</v>
      </c>
      <c r="M96" s="40">
        <f>E96-лютий!E96</f>
        <v>80</v>
      </c>
      <c r="N96" s="40">
        <f>F96-лютий!F96</f>
        <v>7.9399999999999835</v>
      </c>
      <c r="O96" s="53">
        <f t="shared" si="33"/>
        <v>-72.06000000000002</v>
      </c>
      <c r="P96" s="56">
        <f>N96/M96*100</f>
        <v>9.92499999999998</v>
      </c>
      <c r="Q96" s="56">
        <f>N96-42.8</f>
        <v>-34.860000000000014</v>
      </c>
      <c r="R96" s="137">
        <f>N96/42.8</f>
        <v>0.1855140186915884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7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7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666.45</v>
      </c>
      <c r="G99" s="49">
        <f t="shared" si="31"/>
        <v>-110.54999999999995</v>
      </c>
      <c r="H99" s="40">
        <f>F99/E99*100</f>
        <v>85.77220077220078</v>
      </c>
      <c r="I99" s="56">
        <f t="shared" si="32"/>
        <v>-3213.55</v>
      </c>
      <c r="J99" s="56">
        <f>F99/D99*100</f>
        <v>17.176546391752577</v>
      </c>
      <c r="K99" s="56">
        <f>F99-730.6</f>
        <v>-64.14999999999998</v>
      </c>
      <c r="L99" s="137">
        <f>F99/730.6</f>
        <v>0.9121954557897619</v>
      </c>
      <c r="M99" s="40">
        <f>E99-лютий!E99</f>
        <v>250</v>
      </c>
      <c r="N99" s="40">
        <f>F99-лютий!F99</f>
        <v>14.450000000000045</v>
      </c>
      <c r="O99" s="53">
        <f t="shared" si="33"/>
        <v>-235.54999999999995</v>
      </c>
      <c r="P99" s="56">
        <f>N99/M99*100</f>
        <v>5.780000000000019</v>
      </c>
      <c r="Q99" s="56">
        <f>N99-252.2</f>
        <v>-237.74999999999994</v>
      </c>
      <c r="R99" s="137">
        <f>N99/252.2</f>
        <v>0.05729579698651882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7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7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46"/>
      <c r="E102" s="146"/>
      <c r="F102" s="148">
        <v>134.2</v>
      </c>
      <c r="G102" s="146"/>
      <c r="H102" s="148"/>
      <c r="I102" s="147"/>
      <c r="J102" s="147"/>
      <c r="K102" s="150">
        <f>F102-88.6</f>
        <v>45.599999999999994</v>
      </c>
      <c r="L102" s="151">
        <f>F102/88.6</f>
        <v>1.5146726862302482</v>
      </c>
      <c r="M102" s="40">
        <f>E102-лютий!E102</f>
        <v>0</v>
      </c>
      <c r="N102" s="40">
        <f>F102-лютий!F102</f>
        <v>4.099999999999994</v>
      </c>
      <c r="O102" s="53"/>
      <c r="P102" s="60"/>
      <c r="Q102" s="60">
        <f>N102-26.6</f>
        <v>-22.500000000000007</v>
      </c>
      <c r="R102" s="140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F103-24.2</f>
        <v>-24.2</v>
      </c>
      <c r="L103" s="137">
        <f>F103/24.2</f>
        <v>0</v>
      </c>
      <c r="M103" s="40">
        <f>E103-лютий!E103</f>
        <v>24.5</v>
      </c>
      <c r="N103" s="40">
        <f>F103-лютий!F103</f>
        <v>0</v>
      </c>
      <c r="O103" s="53">
        <f aca="true" t="shared" si="35" ref="O103:O109">N103-M103</f>
        <v>-24.5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2.68</v>
      </c>
      <c r="G104" s="49">
        <f>F104-E104</f>
        <v>-3.52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F104-12.1</f>
        <v>-9.42</v>
      </c>
      <c r="L104" s="137">
        <f>F104/12.1</f>
        <v>0.22148760330578515</v>
      </c>
      <c r="M104" s="40">
        <f>E104-лютий!E104</f>
        <v>2</v>
      </c>
      <c r="N104" s="40">
        <f>F104-лютий!F104</f>
        <v>0</v>
      </c>
      <c r="O104" s="53">
        <f t="shared" si="35"/>
        <v>-2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7"/>
      <c r="M105" s="40">
        <f>E105-лютий!E105</f>
        <v>0</v>
      </c>
      <c r="N105" s="40">
        <f>F105-лютий!F105</f>
        <v>0</v>
      </c>
      <c r="O105" s="53">
        <f t="shared" si="35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117795.80000000002</v>
      </c>
      <c r="F106" s="192">
        <f>F8+F74+F104+F105</f>
        <v>73017.6</v>
      </c>
      <c r="G106" s="50">
        <f>F106-E106</f>
        <v>-44778.20000000001</v>
      </c>
      <c r="H106" s="51">
        <f>F106/E106*100</f>
        <v>61.986590353815664</v>
      </c>
      <c r="I106" s="36">
        <f t="shared" si="34"/>
        <v>-464022.30000000005</v>
      </c>
      <c r="J106" s="36">
        <f t="shared" si="36"/>
        <v>13.596308207267283</v>
      </c>
      <c r="K106" s="36">
        <f>F106-114781.4</f>
        <v>-41763.79999999999</v>
      </c>
      <c r="L106" s="138">
        <f>F106/114781.4</f>
        <v>0.636144880616546</v>
      </c>
      <c r="M106" s="22">
        <f>M8+M74+M104+M105</f>
        <v>41859.80000000001</v>
      </c>
      <c r="N106" s="22">
        <f>N8+N74+N104+N105</f>
        <v>1597.1400000000026</v>
      </c>
      <c r="O106" s="55">
        <f t="shared" si="35"/>
        <v>-40262.66000000001</v>
      </c>
      <c r="P106" s="36">
        <f>N106/M106*100</f>
        <v>3.8154506232710195</v>
      </c>
      <c r="Q106" s="36">
        <f>N106-40779.2</f>
        <v>-39182.06</v>
      </c>
      <c r="R106" s="138">
        <f>N106/40779.2</f>
        <v>0.039165554988817894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193">
        <f>F10-F18+F96</f>
        <v>56198.880000000005</v>
      </c>
      <c r="G107" s="71">
        <f>G10-G18+G96</f>
        <v>-37482.22</v>
      </c>
      <c r="H107" s="72">
        <f>F107/E107*100</f>
        <v>59.989560327536715</v>
      </c>
      <c r="I107" s="52">
        <f t="shared" si="34"/>
        <v>-363367.32</v>
      </c>
      <c r="J107" s="52">
        <f t="shared" si="36"/>
        <v>13.394520340294333</v>
      </c>
      <c r="K107" s="52">
        <f>F107-85425.6</f>
        <v>-29226.72</v>
      </c>
      <c r="L107" s="139">
        <f>F107/85425.6</f>
        <v>0.6578693038152498</v>
      </c>
      <c r="M107" s="71">
        <f>M10-M18+M96</f>
        <v>33666.40000000001</v>
      </c>
      <c r="N107" s="71">
        <f>N10-N18+N96</f>
        <v>1326.3500000000035</v>
      </c>
      <c r="O107" s="53">
        <f t="shared" si="35"/>
        <v>-32340.050000000007</v>
      </c>
      <c r="P107" s="52">
        <f>N107/M107*100</f>
        <v>3.939684670769679</v>
      </c>
      <c r="Q107" s="52">
        <f>N107-28449</f>
        <v>-27122.649999999998</v>
      </c>
      <c r="R107" s="139">
        <f>N107/28449</f>
        <v>0.04662202537874806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24114.70000000001</v>
      </c>
      <c r="F108" s="193">
        <f>F106-F107</f>
        <v>16818.72</v>
      </c>
      <c r="G108" s="62">
        <f>F108-E108</f>
        <v>-7295.9800000000105</v>
      </c>
      <c r="H108" s="72">
        <f>F108/E108*100</f>
        <v>69.74467855706268</v>
      </c>
      <c r="I108" s="52">
        <f t="shared" si="34"/>
        <v>-100654.98000000001</v>
      </c>
      <c r="J108" s="52">
        <f t="shared" si="36"/>
        <v>14.317008828359029</v>
      </c>
      <c r="K108" s="52">
        <f>F108-29355.8</f>
        <v>-12537.079999999998</v>
      </c>
      <c r="L108" s="139">
        <f>F108/29355.8</f>
        <v>0.5729266448197631</v>
      </c>
      <c r="M108" s="71">
        <f>M106-M107</f>
        <v>8193.400000000001</v>
      </c>
      <c r="N108" s="71">
        <f>N106-N107</f>
        <v>270.78999999999905</v>
      </c>
      <c r="O108" s="53">
        <f t="shared" si="35"/>
        <v>-7922.610000000002</v>
      </c>
      <c r="P108" s="52">
        <f>N108/M108*100</f>
        <v>3.304977176752008</v>
      </c>
      <c r="Q108" s="52">
        <f>N108-12330.3</f>
        <v>-12059.51</v>
      </c>
      <c r="R108" s="139">
        <f>N108/12330.3</f>
        <v>0.021961347250269585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56198.880000000005</v>
      </c>
      <c r="G109" s="111">
        <f>F109-E109</f>
        <v>-37482.22</v>
      </c>
      <c r="H109" s="72">
        <f>F109/E109*100</f>
        <v>59.989560327536715</v>
      </c>
      <c r="I109" s="81">
        <f t="shared" si="34"/>
        <v>-363367.32</v>
      </c>
      <c r="J109" s="52">
        <f t="shared" si="36"/>
        <v>13.394520340294333</v>
      </c>
      <c r="K109" s="52"/>
      <c r="L109" s="139"/>
      <c r="M109" s="122">
        <f>E109-лютий!E109</f>
        <v>33666.40000000001</v>
      </c>
      <c r="N109" s="71">
        <f>N107</f>
        <v>1326.3500000000035</v>
      </c>
      <c r="O109" s="118">
        <f t="shared" si="35"/>
        <v>-32340.050000000007</v>
      </c>
      <c r="P109" s="52">
        <f>N109/M109*100</f>
        <v>3.939684670769679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4870.4</v>
      </c>
      <c r="F110" s="87">
        <f>'[1]березень'!$C$28/1000</f>
        <v>3384.509</v>
      </c>
      <c r="G110" s="62">
        <f>F110-E110</f>
        <v>-1485.8909999999996</v>
      </c>
      <c r="H110" s="72"/>
      <c r="I110" s="85">
        <f t="shared" si="34"/>
        <v>-1485.871</v>
      </c>
      <c r="J110" s="52"/>
      <c r="K110" s="52"/>
      <c r="L110" s="139"/>
      <c r="M110" s="40">
        <f>E110-лютий!E110</f>
        <v>1650.9889999999996</v>
      </c>
      <c r="N110" s="71">
        <f>F110-лютий!F110</f>
        <v>165.09799999999996</v>
      </c>
      <c r="O110" s="86"/>
      <c r="P110" s="52">
        <f>N110/M110*100</f>
        <v>9.999945487220083</v>
      </c>
      <c r="Q110" s="52"/>
      <c r="R110" s="139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9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4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F113-4.6</f>
        <v>-7.209999999999999</v>
      </c>
      <c r="L113" s="140">
        <f>F113/4.6</f>
        <v>-0.5673913043478261</v>
      </c>
      <c r="M113" s="40">
        <f>E113-лютий!E113</f>
        <v>0</v>
      </c>
      <c r="N113" s="40">
        <f>F113-лютий!F113</f>
        <v>0</v>
      </c>
      <c r="O113" s="53"/>
      <c r="P113" s="60"/>
      <c r="Q113" s="60">
        <f>N113-3.2</f>
        <v>-3.2</v>
      </c>
      <c r="R113" s="140"/>
    </row>
    <row r="114" spans="2:18" ht="15.75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189.15</v>
      </c>
      <c r="G114" s="49">
        <f t="shared" si="37"/>
        <v>-525.45</v>
      </c>
      <c r="H114" s="40">
        <f aca="true" t="shared" si="39" ref="H114:H125">F114/E114*100</f>
        <v>26.469353484466833</v>
      </c>
      <c r="I114" s="60">
        <f t="shared" si="38"/>
        <v>-3482.35</v>
      </c>
      <c r="J114" s="60">
        <f aca="true" t="shared" si="40" ref="J114:J120">F114/D114*100</f>
        <v>5.151845294838623</v>
      </c>
      <c r="K114" s="60">
        <f>F114-834.4</f>
        <v>-645.25</v>
      </c>
      <c r="L114" s="140">
        <f>F114/834.4</f>
        <v>0.22668983700862896</v>
      </c>
      <c r="M114" s="40">
        <f>E114-лютий!E114</f>
        <v>327.5</v>
      </c>
      <c r="N114" s="40">
        <f>F114-лютий!F114</f>
        <v>9.909999999999997</v>
      </c>
      <c r="O114" s="53">
        <f aca="true" t="shared" si="41" ref="O114:O125">N114-M114</f>
        <v>-317.59000000000003</v>
      </c>
      <c r="P114" s="60">
        <f>N114/M114*100</f>
        <v>3.0259541984732814</v>
      </c>
      <c r="Q114" s="60">
        <f>N114-358.7</f>
        <v>-348.78999999999996</v>
      </c>
      <c r="R114" s="140">
        <f>N114/358.7</f>
        <v>0.027627543908558677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68.5</v>
      </c>
      <c r="F115" s="32">
        <v>46.69</v>
      </c>
      <c r="G115" s="49">
        <f t="shared" si="37"/>
        <v>-21.810000000000002</v>
      </c>
      <c r="H115" s="40">
        <f t="shared" si="39"/>
        <v>68.16058394160584</v>
      </c>
      <c r="I115" s="60">
        <f t="shared" si="38"/>
        <v>-221.41000000000003</v>
      </c>
      <c r="J115" s="60">
        <f t="shared" si="40"/>
        <v>17.415143603133156</v>
      </c>
      <c r="K115" s="60">
        <f>F115-63.4</f>
        <v>-16.71</v>
      </c>
      <c r="L115" s="140">
        <f>F115/63.4</f>
        <v>0.7364353312302839</v>
      </c>
      <c r="M115" s="40">
        <f>E115-лютий!E115</f>
        <v>22</v>
      </c>
      <c r="N115" s="40">
        <f>F115-лютий!F115</f>
        <v>0</v>
      </c>
      <c r="O115" s="53">
        <f t="shared" si="41"/>
        <v>-22</v>
      </c>
      <c r="P115" s="60">
        <f>N115/M115*100</f>
        <v>0</v>
      </c>
      <c r="Q115" s="60">
        <f>N115-16.9</f>
        <v>-16.9</v>
      </c>
      <c r="R115" s="140">
        <f>N115/16.9</f>
        <v>0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233.23</v>
      </c>
      <c r="G116" s="62">
        <f t="shared" si="37"/>
        <v>-549.87</v>
      </c>
      <c r="H116" s="72">
        <f t="shared" si="39"/>
        <v>29.78291405950709</v>
      </c>
      <c r="I116" s="61">
        <f t="shared" si="38"/>
        <v>-3706.37</v>
      </c>
      <c r="J116" s="61">
        <f t="shared" si="40"/>
        <v>5.920144177073815</v>
      </c>
      <c r="K116" s="61">
        <f>F116-902.4</f>
        <v>-669.17</v>
      </c>
      <c r="L116" s="141">
        <f>F116/902.4</f>
        <v>0.2584552304964539</v>
      </c>
      <c r="M116" s="62">
        <f>M114+M115+M113</f>
        <v>349.5</v>
      </c>
      <c r="N116" s="38">
        <f>SUM(N113:N115)</f>
        <v>9.909999999999997</v>
      </c>
      <c r="O116" s="61">
        <f t="shared" si="41"/>
        <v>-339.59000000000003</v>
      </c>
      <c r="P116" s="61">
        <f>N116/M116*100</f>
        <v>2.8354792560801134</v>
      </c>
      <c r="Q116" s="61">
        <f>N116-378.9</f>
        <v>-368.99</v>
      </c>
      <c r="R116" s="141">
        <f>N116/378.9</f>
        <v>0.026154658221166527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40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58.68</v>
      </c>
      <c r="G118" s="49">
        <f t="shared" si="37"/>
        <v>58.68</v>
      </c>
      <c r="H118" s="40" t="e">
        <f t="shared" si="39"/>
        <v>#DIV/0!</v>
      </c>
      <c r="I118" s="60">
        <f t="shared" si="38"/>
        <v>58.68</v>
      </c>
      <c r="J118" s="60" t="e">
        <f t="shared" si="40"/>
        <v>#DIV/0!</v>
      </c>
      <c r="K118" s="60">
        <f>F118-7.7</f>
        <v>50.98</v>
      </c>
      <c r="L118" s="140">
        <f>F118/7.7</f>
        <v>7.62077922077922</v>
      </c>
      <c r="M118" s="40">
        <f>E118-лютий!E118</f>
        <v>0</v>
      </c>
      <c r="N118" s="40">
        <f>F118-лютий!F118</f>
        <v>1.2899999999999991</v>
      </c>
      <c r="O118" s="53" t="s">
        <v>166</v>
      </c>
      <c r="P118" s="60"/>
      <c r="Q118" s="60">
        <f>N118-5</f>
        <v>-3.710000000000001</v>
      </c>
      <c r="R118" s="140">
        <f>N118/5</f>
        <v>0.25799999999999984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17074.34</v>
      </c>
      <c r="G119" s="49">
        <f t="shared" si="37"/>
        <v>-1538.2599999999984</v>
      </c>
      <c r="H119" s="40">
        <f t="shared" si="39"/>
        <v>91.73538355737512</v>
      </c>
      <c r="I119" s="53">
        <f t="shared" si="38"/>
        <v>-8913.044999999998</v>
      </c>
      <c r="J119" s="60">
        <f t="shared" si="40"/>
        <v>65.70241676875146</v>
      </c>
      <c r="K119" s="60">
        <f>F119-17244.2</f>
        <v>-169.86000000000058</v>
      </c>
      <c r="L119" s="140">
        <f>F119/17244.2</f>
        <v>0.9901497315039259</v>
      </c>
      <c r="M119" s="40">
        <f>E119-лютий!E119</f>
        <v>3092.999999999998</v>
      </c>
      <c r="N119" s="40">
        <f>F119-лютий!F119</f>
        <v>193</v>
      </c>
      <c r="O119" s="53">
        <f t="shared" si="41"/>
        <v>-2899.999999999998</v>
      </c>
      <c r="P119" s="60">
        <f aca="true" t="shared" si="42" ref="P119:P124">N119/M119*100</f>
        <v>6.239896540575496</v>
      </c>
      <c r="Q119" s="60">
        <f>N119-8093.7</f>
        <v>-7900.7</v>
      </c>
      <c r="R119" s="140">
        <f>N119/8093.7</f>
        <v>0.023845707154947677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475.92</v>
      </c>
      <c r="G120" s="49">
        <f t="shared" si="37"/>
        <v>475.92</v>
      </c>
      <c r="H120" s="40" t="e">
        <f t="shared" si="39"/>
        <v>#DIV/0!</v>
      </c>
      <c r="I120" s="60">
        <f t="shared" si="38"/>
        <v>475.92</v>
      </c>
      <c r="J120" s="60" t="e">
        <f t="shared" si="40"/>
        <v>#DIV/0!</v>
      </c>
      <c r="K120" s="60">
        <f>F120-280.5</f>
        <v>195.42000000000002</v>
      </c>
      <c r="L120" s="140">
        <f>F120/230.5</f>
        <v>2.0647288503253796</v>
      </c>
      <c r="M120" s="40">
        <f>E120-лютий!E120</f>
        <v>0</v>
      </c>
      <c r="N120" s="40">
        <f>F120-лютий!F120</f>
        <v>0.020000000000038654</v>
      </c>
      <c r="O120" s="53">
        <f t="shared" si="41"/>
        <v>0.020000000000038654</v>
      </c>
      <c r="P120" s="60" t="e">
        <f t="shared" si="42"/>
        <v>#DIV/0!</v>
      </c>
      <c r="Q120" s="60">
        <f>N120-230.3</f>
        <v>-230.27999999999997</v>
      </c>
      <c r="R120" s="140">
        <f>N120/230.3</f>
        <v>8.68432479376407E-05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1073.25</v>
      </c>
      <c r="G121" s="49">
        <f t="shared" si="37"/>
        <v>1073.25</v>
      </c>
      <c r="H121" s="40" t="e">
        <f t="shared" si="39"/>
        <v>#DIV/0!</v>
      </c>
      <c r="I121" s="60">
        <f t="shared" si="38"/>
        <v>1073.25</v>
      </c>
      <c r="J121" s="60" t="e">
        <f>F121/D121*100</f>
        <v>#DIV/0!</v>
      </c>
      <c r="K121" s="60">
        <f>F121-6993.4</f>
        <v>-5920.15</v>
      </c>
      <c r="L121" s="140">
        <f>F121/6993.4</f>
        <v>0.15346612520376354</v>
      </c>
      <c r="M121" s="40">
        <f>E121-лютий!E121</f>
        <v>0</v>
      </c>
      <c r="N121" s="40">
        <f>F121-лютий!F121</f>
        <v>30.079999999999927</v>
      </c>
      <c r="O121" s="53">
        <f t="shared" si="41"/>
        <v>30.079999999999927</v>
      </c>
      <c r="P121" s="60" t="e">
        <f t="shared" si="42"/>
        <v>#DIV/0!</v>
      </c>
      <c r="Q121" s="60">
        <f>N121-50.2</f>
        <v>-20.120000000000076</v>
      </c>
      <c r="R121" s="140">
        <f>N121/50.2</f>
        <v>0.5992031872509945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136.4</v>
      </c>
      <c r="G122" s="49">
        <f t="shared" si="37"/>
        <v>136.4</v>
      </c>
      <c r="H122" s="40" t="e">
        <f t="shared" si="39"/>
        <v>#DIV/0!</v>
      </c>
      <c r="I122" s="60">
        <f t="shared" si="38"/>
        <v>136.4</v>
      </c>
      <c r="J122" s="60" t="e">
        <f>F122/D122*100</f>
        <v>#DIV/0!</v>
      </c>
      <c r="K122" s="60">
        <f>F122-314.5</f>
        <v>-178.1</v>
      </c>
      <c r="L122" s="140">
        <f>F122/314.5</f>
        <v>0.43370429252782194</v>
      </c>
      <c r="M122" s="40">
        <f>E122-лютий!E122</f>
        <v>0</v>
      </c>
      <c r="N122" s="40">
        <f>F122-лютий!F122</f>
        <v>49</v>
      </c>
      <c r="O122" s="53">
        <f t="shared" si="41"/>
        <v>49</v>
      </c>
      <c r="P122" s="60" t="e">
        <f t="shared" si="42"/>
        <v>#DIV/0!</v>
      </c>
      <c r="Q122" s="60">
        <f>N122-292.3</f>
        <v>-243.3</v>
      </c>
      <c r="R122" s="140">
        <f>N122/292.3</f>
        <v>0.16763599042080055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18818.59</v>
      </c>
      <c r="G123" s="62">
        <f t="shared" si="37"/>
        <v>205.9900000000016</v>
      </c>
      <c r="H123" s="72">
        <f t="shared" si="39"/>
        <v>101.10672340242633</v>
      </c>
      <c r="I123" s="61">
        <f t="shared" si="38"/>
        <v>-7168.794999999998</v>
      </c>
      <c r="J123" s="61">
        <f>F123/D123*100</f>
        <v>72.41432718220784</v>
      </c>
      <c r="K123" s="61">
        <f>F123-24840.3</f>
        <v>-6021.709999999999</v>
      </c>
      <c r="L123" s="141">
        <f>F123/24840.3</f>
        <v>0.7575830404624743</v>
      </c>
      <c r="M123" s="62">
        <f>M119+M120+M121+M122+M118</f>
        <v>3092.999999999998</v>
      </c>
      <c r="N123" s="62">
        <f>N119+N120+N121+N122+N118</f>
        <v>273.39</v>
      </c>
      <c r="O123" s="61">
        <f t="shared" si="41"/>
        <v>-2819.6099999999983</v>
      </c>
      <c r="P123" s="61">
        <f t="shared" si="42"/>
        <v>8.83899127061106</v>
      </c>
      <c r="Q123" s="61">
        <f>N123-8732.6</f>
        <v>-8459.210000000001</v>
      </c>
      <c r="R123" s="141">
        <f>N123/8732.6</f>
        <v>0.031306827290841215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0.16</v>
      </c>
      <c r="G124" s="49">
        <f t="shared" si="37"/>
        <v>-8</v>
      </c>
      <c r="H124" s="40">
        <f t="shared" si="39"/>
        <v>1.9607843137254901</v>
      </c>
      <c r="I124" s="60">
        <f t="shared" si="38"/>
        <v>-43.34</v>
      </c>
      <c r="J124" s="60">
        <f>F124/D124*100</f>
        <v>0.367816091954023</v>
      </c>
      <c r="K124" s="60">
        <f>F124-97</f>
        <v>-96.84</v>
      </c>
      <c r="L124" s="140">
        <f>F124/97</f>
        <v>0.0016494845360824743</v>
      </c>
      <c r="M124" s="40">
        <f>E124-лютий!E124</f>
        <v>3</v>
      </c>
      <c r="N124" s="40">
        <f>F124-лютий!F124</f>
        <v>0</v>
      </c>
      <c r="O124" s="53">
        <f t="shared" si="41"/>
        <v>-3</v>
      </c>
      <c r="P124" s="60">
        <f>N124/M124*100</f>
        <v>0</v>
      </c>
      <c r="Q124" s="60">
        <f>N124-26.2</f>
        <v>-26.2</v>
      </c>
      <c r="R124" s="140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40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40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N126-8.4</f>
        <v>-8.4</v>
      </c>
      <c r="R126" s="142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2600.49</v>
      </c>
      <c r="G127" s="49">
        <f aca="true" t="shared" si="43" ref="G127:G134">F127-E127</f>
        <v>92.98999999999978</v>
      </c>
      <c r="H127" s="40">
        <f>F127/E127*100</f>
        <v>103.70847457627117</v>
      </c>
      <c r="I127" s="60">
        <f aca="true" t="shared" si="44" ref="I127:I134">F127-D127</f>
        <v>-6099.51</v>
      </c>
      <c r="J127" s="60">
        <f>F127/D127*100</f>
        <v>29.89068965517241</v>
      </c>
      <c r="K127" s="60">
        <f>F127-2439.6</f>
        <v>160.88999999999987</v>
      </c>
      <c r="L127" s="140">
        <f>F127/2439.6</f>
        <v>1.0659493359567143</v>
      </c>
      <c r="M127" s="40">
        <f>E127-лютий!E127</f>
        <v>0</v>
      </c>
      <c r="N127" s="40">
        <f>F127-лютий!F127</f>
        <v>-884.1500000000001</v>
      </c>
      <c r="O127" s="53">
        <f aca="true" t="shared" si="45" ref="O127:O134">N127-M127</f>
        <v>-884.1500000000001</v>
      </c>
      <c r="P127" s="60" t="e">
        <f>N127/M127*100</f>
        <v>#DIV/0!</v>
      </c>
      <c r="Q127" s="60">
        <f>N127-2355</f>
        <v>-3239.15</v>
      </c>
      <c r="R127" s="140">
        <f>N127/2355</f>
        <v>-0.37543524416135887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F128-(-0.8)</f>
        <v>0.5700000000000001</v>
      </c>
      <c r="L128" s="140">
        <f>F128/(-0.8)</f>
        <v>0.2875</v>
      </c>
      <c r="M128" s="40">
        <f>E128-лютий!E128</f>
        <v>0</v>
      </c>
      <c r="N128" s="40">
        <f>F128-лютий!F128</f>
        <v>0</v>
      </c>
      <c r="O128" s="53">
        <f t="shared" si="45"/>
        <v>0</v>
      </c>
      <c r="P128" s="60"/>
      <c r="Q128" s="60">
        <f>N128-0.1</f>
        <v>-0.1</v>
      </c>
      <c r="R128" s="140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2609.18</v>
      </c>
      <c r="G129" s="62">
        <f t="shared" si="43"/>
        <v>86.32000000000016</v>
      </c>
      <c r="H129" s="72">
        <f>F129/E129*100</f>
        <v>103.42151367891996</v>
      </c>
      <c r="I129" s="61">
        <f t="shared" si="44"/>
        <v>-6141.52</v>
      </c>
      <c r="J129" s="61">
        <f>F129/D129*100</f>
        <v>29.81681465482761</v>
      </c>
      <c r="K129" s="61">
        <f>F129-2544.3</f>
        <v>64.87999999999965</v>
      </c>
      <c r="L129" s="141">
        <f>G129/2544.3</f>
        <v>0.0339268168061943</v>
      </c>
      <c r="M129" s="62">
        <f>M124+M127+M128+M126</f>
        <v>3</v>
      </c>
      <c r="N129" s="62">
        <f>N124+N127+N128+N126</f>
        <v>-884.1500000000001</v>
      </c>
      <c r="O129" s="61">
        <f t="shared" si="45"/>
        <v>-887.1500000000001</v>
      </c>
      <c r="P129" s="61">
        <f>N129/M129*100</f>
        <v>-29471.66666666667</v>
      </c>
      <c r="Q129" s="61">
        <f>N129-2389.7</f>
        <v>-3273.85</v>
      </c>
      <c r="R129" s="139">
        <f>N129/2389.7</f>
        <v>-0.36998367995982767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1.98</v>
      </c>
      <c r="G130" s="49">
        <f>F130-E130</f>
        <v>-5.869999999999999</v>
      </c>
      <c r="H130" s="40">
        <f>F130/E130*100</f>
        <v>25.222929936305732</v>
      </c>
      <c r="I130" s="60">
        <f>F130-D130</f>
        <v>-28.02</v>
      </c>
      <c r="J130" s="60">
        <f>F130/D130*100</f>
        <v>6.6000000000000005</v>
      </c>
      <c r="K130" s="60">
        <f>F130-8.4</f>
        <v>-6.42</v>
      </c>
      <c r="L130" s="140">
        <f>F130/8.4</f>
        <v>0.2357142857142857</v>
      </c>
      <c r="M130" s="40">
        <f>E130-лютий!E130</f>
        <v>7</v>
      </c>
      <c r="N130" s="40">
        <f>F130-лютий!F130</f>
        <v>0</v>
      </c>
      <c r="O130" s="53">
        <f>N130-M130</f>
        <v>-7</v>
      </c>
      <c r="P130" s="60">
        <f>N130/M130*100</f>
        <v>0</v>
      </c>
      <c r="Q130" s="60">
        <f>N130-0.5</f>
        <v>-0.5</v>
      </c>
      <c r="R130" s="140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40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40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21662.98</v>
      </c>
      <c r="G133" s="50">
        <f t="shared" si="43"/>
        <v>-263.4300000000003</v>
      </c>
      <c r="H133" s="51">
        <f>F133/E133*100</f>
        <v>98.79857213287538</v>
      </c>
      <c r="I133" s="36">
        <f t="shared" si="44"/>
        <v>-17044.704999999998</v>
      </c>
      <c r="J133" s="36">
        <f>F133/D133*100</f>
        <v>55.96557892831876</v>
      </c>
      <c r="K133" s="36">
        <f>F133-28295.3</f>
        <v>-6632.32</v>
      </c>
      <c r="L133" s="138">
        <f>F133/28295.3</f>
        <v>0.765603474782031</v>
      </c>
      <c r="M133" s="31">
        <f>M116+M130+M123+M129+M132+M131</f>
        <v>3452.499999999998</v>
      </c>
      <c r="N133" s="31">
        <f>N116+N130+N123+N129+N132+N131</f>
        <v>-600.8500000000001</v>
      </c>
      <c r="O133" s="36">
        <f t="shared" si="45"/>
        <v>-4053.3499999999985</v>
      </c>
      <c r="P133" s="36">
        <f>N133/M133*100</f>
        <v>-17.403330919623475</v>
      </c>
      <c r="Q133" s="36">
        <f>N133-11501.6</f>
        <v>-12102.45</v>
      </c>
      <c r="R133" s="138">
        <f>N133/11501.6</f>
        <v>-0.052240557835431606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139722.21000000002</v>
      </c>
      <c r="F134" s="31">
        <f>F106+F133</f>
        <v>94680.58</v>
      </c>
      <c r="G134" s="50">
        <f t="shared" si="43"/>
        <v>-45041.63000000002</v>
      </c>
      <c r="H134" s="51">
        <f>F134/E134*100</f>
        <v>67.76344290574848</v>
      </c>
      <c r="I134" s="36">
        <f t="shared" si="44"/>
        <v>-481067.00499999995</v>
      </c>
      <c r="J134" s="36">
        <f>F134/D134*100</f>
        <v>16.444807145825894</v>
      </c>
      <c r="K134" s="36">
        <f>F134-143076.7</f>
        <v>-48396.12000000001</v>
      </c>
      <c r="L134" s="138">
        <f>F134/143076.7</f>
        <v>0.6617470210034198</v>
      </c>
      <c r="M134" s="22">
        <f>M106+M133</f>
        <v>45312.30000000001</v>
      </c>
      <c r="N134" s="22">
        <f>N106+N133</f>
        <v>996.2900000000025</v>
      </c>
      <c r="O134" s="36">
        <f t="shared" si="45"/>
        <v>-44316.01000000001</v>
      </c>
      <c r="P134" s="36">
        <f>N134/M134*100</f>
        <v>2.1987186702065493</v>
      </c>
      <c r="Q134" s="36">
        <f>N134-52280.8</f>
        <v>-51284.51</v>
      </c>
      <c r="R134" s="138">
        <f>N134/52280.8</f>
        <v>0.01905651788036913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18</v>
      </c>
      <c r="D136" s="4" t="s">
        <v>118</v>
      </c>
    </row>
    <row r="137" spans="2:17" ht="31.5">
      <c r="B137" s="78" t="s">
        <v>154</v>
      </c>
      <c r="C137" s="39">
        <f>IF(O106&lt;0,ABS(O106/C136),0)</f>
        <v>2236.814444444445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41702</v>
      </c>
      <c r="D138" s="39">
        <v>920.3</v>
      </c>
      <c r="N138" s="152"/>
      <c r="O138" s="152"/>
    </row>
    <row r="139" spans="3:15" ht="15.75">
      <c r="C139" s="120">
        <v>41701</v>
      </c>
      <c r="D139" s="39">
        <v>676.9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41698</v>
      </c>
      <c r="D140" s="39">
        <v>5196.6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122243.91489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108418.69293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</mergeCells>
  <printOptions/>
  <pageMargins left="0.4" right="0.18" top="0.26" bottom="0.36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0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13" sqref="F11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0.875" style="131" hidden="1" customWidth="1"/>
    <col min="19" max="16384" width="9.125" style="4" customWidth="1"/>
  </cols>
  <sheetData>
    <row r="1" spans="1:18" s="1" customFormat="1" ht="26.25" customHeight="1">
      <c r="A1" s="179" t="s">
        <v>193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8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81"/>
      <c r="B3" s="183"/>
      <c r="C3" s="184" t="s">
        <v>0</v>
      </c>
      <c r="D3" s="185" t="s">
        <v>186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189</v>
      </c>
      <c r="N3" s="172" t="s">
        <v>184</v>
      </c>
      <c r="O3" s="172"/>
      <c r="P3" s="172"/>
      <c r="Q3" s="127"/>
      <c r="R3" s="130"/>
    </row>
    <row r="4" spans="1:18" ht="22.5" customHeight="1">
      <c r="A4" s="181"/>
      <c r="B4" s="183"/>
      <c r="C4" s="184"/>
      <c r="D4" s="185"/>
      <c r="E4" s="190" t="s">
        <v>195</v>
      </c>
      <c r="F4" s="173" t="s">
        <v>116</v>
      </c>
      <c r="G4" s="175" t="s">
        <v>196</v>
      </c>
      <c r="H4" s="177" t="s">
        <v>167</v>
      </c>
      <c r="I4" s="170" t="s">
        <v>187</v>
      </c>
      <c r="J4" s="166" t="s">
        <v>188</v>
      </c>
      <c r="K4" s="125" t="s">
        <v>173</v>
      </c>
      <c r="L4" s="132" t="s">
        <v>172</v>
      </c>
      <c r="M4" s="189"/>
      <c r="N4" s="168" t="s">
        <v>194</v>
      </c>
      <c r="O4" s="170" t="s">
        <v>136</v>
      </c>
      <c r="P4" s="172" t="s">
        <v>135</v>
      </c>
      <c r="Q4" s="133" t="s">
        <v>173</v>
      </c>
      <c r="R4" s="134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183</v>
      </c>
      <c r="L5" s="164"/>
      <c r="M5" s="189"/>
      <c r="N5" s="169"/>
      <c r="O5" s="171"/>
      <c r="P5" s="172"/>
      <c r="Q5" s="153" t="s">
        <v>178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169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8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6">
        <f>N8/31977.9</f>
        <v>1.1121771598510222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7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56">
        <f>F10-55122.8</f>
        <v>-376.81000000000495</v>
      </c>
      <c r="L10" s="137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3">
        <f>N10-28390.4</f>
        <v>-212.52000000000407</v>
      </c>
      <c r="R10" s="144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7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7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7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7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7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7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7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7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7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7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7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7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7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7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7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7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7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7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7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7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7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7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7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7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7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7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7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7">
        <f t="shared" si="13"/>
        <v>0</v>
      </c>
    </row>
    <row r="29" spans="1:18" s="6" customFormat="1" ht="15.75">
      <c r="A29" s="8"/>
      <c r="B29" s="76" t="s">
        <v>180</v>
      </c>
      <c r="C29" s="145">
        <v>11010232</v>
      </c>
      <c r="D29" s="146">
        <v>3000</v>
      </c>
      <c r="E29" s="41">
        <v>716</v>
      </c>
      <c r="F29" s="148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50">
        <f>F29-322.6</f>
        <v>395.03999999999996</v>
      </c>
      <c r="L29" s="151">
        <f>F29/322.6</f>
        <v>2.2245505269683816</v>
      </c>
      <c r="M29" s="148">
        <f>E29-'січень '!E29</f>
        <v>357.2</v>
      </c>
      <c r="N29" s="148">
        <f>F29-'січень '!F29</f>
        <v>358.84999999999997</v>
      </c>
      <c r="O29" s="150"/>
      <c r="P29" s="56"/>
      <c r="Q29" s="56">
        <f>N29-162.6</f>
        <v>196.24999999999997</v>
      </c>
      <c r="R29" s="137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7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7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7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56">
        <f>F33-12535.7</f>
        <v>221.29999999999927</v>
      </c>
      <c r="L33" s="137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3">
        <f>N33-6362.9</f>
        <v>100.8100000000004</v>
      </c>
      <c r="R33" s="144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7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3">
        <f aca="true" t="shared" si="21" ref="Q34:Q54">N34-6362.9</f>
        <v>-6362.9</v>
      </c>
      <c r="R34" s="144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7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3">
        <f t="shared" si="21"/>
        <v>-6362.9</v>
      </c>
      <c r="R35" s="144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7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3">
        <f t="shared" si="21"/>
        <v>-6362.9</v>
      </c>
      <c r="R36" s="144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7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3">
        <f t="shared" si="21"/>
        <v>-6362.9</v>
      </c>
      <c r="R37" s="144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7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3">
        <f t="shared" si="21"/>
        <v>-6362.9</v>
      </c>
      <c r="R38" s="144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7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3">
        <f t="shared" si="21"/>
        <v>-6362.9</v>
      </c>
      <c r="R39" s="144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7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3">
        <f t="shared" si="21"/>
        <v>-6362.9</v>
      </c>
      <c r="R40" s="144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7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3">
        <f t="shared" si="21"/>
        <v>-6362.9</v>
      </c>
      <c r="R41" s="144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7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3">
        <f t="shared" si="21"/>
        <v>-6362.9</v>
      </c>
      <c r="R42" s="144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7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3">
        <f t="shared" si="21"/>
        <v>-6362.9</v>
      </c>
      <c r="R43" s="144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7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3">
        <f t="shared" si="21"/>
        <v>-6362.9</v>
      </c>
      <c r="R44" s="144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7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3">
        <f t="shared" si="21"/>
        <v>-6362.9</v>
      </c>
      <c r="R45" s="144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7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3">
        <f t="shared" si="21"/>
        <v>-6362.9</v>
      </c>
      <c r="R46" s="144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7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3">
        <f t="shared" si="21"/>
        <v>-6362.9</v>
      </c>
      <c r="R47" s="144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7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3">
        <f t="shared" si="21"/>
        <v>-6362.9</v>
      </c>
      <c r="R48" s="144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7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3">
        <f t="shared" si="21"/>
        <v>-6362.9</v>
      </c>
      <c r="R49" s="144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7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3">
        <f t="shared" si="21"/>
        <v>-6362.9</v>
      </c>
      <c r="R50" s="144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7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3">
        <f t="shared" si="21"/>
        <v>-6362.9</v>
      </c>
      <c r="R51" s="144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7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3">
        <f t="shared" si="21"/>
        <v>-6362.9</v>
      </c>
      <c r="R52" s="144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7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3">
        <f t="shared" si="21"/>
        <v>-6362.9</v>
      </c>
      <c r="R53" s="144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7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3">
        <f t="shared" si="21"/>
        <v>-6362.9</v>
      </c>
      <c r="R54" s="144">
        <f t="shared" si="22"/>
        <v>0</v>
      </c>
    </row>
    <row r="55" spans="1:18" s="6" customFormat="1" ht="15.75">
      <c r="A55" s="8"/>
      <c r="B55" s="76" t="s">
        <v>181</v>
      </c>
      <c r="C55" s="65"/>
      <c r="D55" s="146">
        <f>56066+10200</f>
        <v>66266</v>
      </c>
      <c r="E55" s="146">
        <v>9500</v>
      </c>
      <c r="F55" s="148">
        <v>9480.11</v>
      </c>
      <c r="G55" s="146">
        <f t="shared" si="14"/>
        <v>-19.889999999999418</v>
      </c>
      <c r="H55" s="148">
        <f t="shared" si="15"/>
        <v>99.79063157894737</v>
      </c>
      <c r="I55" s="147">
        <f t="shared" si="18"/>
        <v>-56785.89</v>
      </c>
      <c r="J55" s="147">
        <f t="shared" si="16"/>
        <v>14.306144931035526</v>
      </c>
      <c r="K55" s="150">
        <f>F55-9287.5</f>
        <v>192.61000000000058</v>
      </c>
      <c r="L55" s="151">
        <f>F55/9287.5</f>
        <v>1.0207386271870795</v>
      </c>
      <c r="M55" s="148">
        <f>E55-'січень '!E55</f>
        <v>4812.1</v>
      </c>
      <c r="N55" s="148">
        <f>F55-'січень '!F55</f>
        <v>4792.200000000001</v>
      </c>
      <c r="O55" s="150">
        <f t="shared" si="3"/>
        <v>-19.899999999999636</v>
      </c>
      <c r="P55" s="60">
        <f t="shared" si="17"/>
        <v>99.58645913426571</v>
      </c>
      <c r="Q55" s="143">
        <f>N55-4413.4</f>
        <v>378.8000000000011</v>
      </c>
      <c r="R55" s="144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7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7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7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7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7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7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7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7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7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7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7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7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7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7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7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7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7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7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7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7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8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8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7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7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7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7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7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7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7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7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7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7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7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7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7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7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7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7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7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7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7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7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7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7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7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7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7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7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7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7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7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7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7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7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46"/>
      <c r="E102" s="146"/>
      <c r="F102" s="148">
        <v>130.1</v>
      </c>
      <c r="G102" s="146"/>
      <c r="H102" s="148"/>
      <c r="I102" s="147"/>
      <c r="J102" s="147"/>
      <c r="K102" s="150">
        <f>F102-54.4</f>
        <v>75.69999999999999</v>
      </c>
      <c r="L102" s="151">
        <f>F102/54.4</f>
        <v>2.391544117647059</v>
      </c>
      <c r="M102" s="148">
        <f>E102-'січень '!E102</f>
        <v>0</v>
      </c>
      <c r="N102" s="148">
        <f>F102-'січень '!F102</f>
        <v>65.39999999999999</v>
      </c>
      <c r="O102" s="53"/>
      <c r="P102" s="60"/>
      <c r="Q102" s="60">
        <f>N102-26.6</f>
        <v>38.79999999999999</v>
      </c>
      <c r="R102" s="140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7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7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7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8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8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9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9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9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9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9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-1650.969</v>
      </c>
      <c r="J110" s="52"/>
      <c r="K110" s="52"/>
      <c r="L110" s="139"/>
      <c r="M110" s="40">
        <f>E110-'січень '!E110</f>
        <v>1650.981</v>
      </c>
      <c r="N110" s="71">
        <f>F110-'січень '!F110</f>
        <v>1650.98</v>
      </c>
      <c r="O110" s="86"/>
      <c r="P110" s="52">
        <f>N110/M110*100</f>
        <v>99.99993942995104</v>
      </c>
      <c r="Q110" s="52"/>
      <c r="R110" s="139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9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4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40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40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40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40">
        <f>N114/358.7</f>
        <v>0.30972957903540566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40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40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41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41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40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40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40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40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40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40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40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40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40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40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40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41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41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40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40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40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40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2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40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40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40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40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41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9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40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40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40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40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8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8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8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8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49" sqref="G14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9.125" style="131" customWidth="1"/>
    <col min="19" max="16384" width="9.125" style="4" customWidth="1"/>
  </cols>
  <sheetData>
    <row r="1" spans="1:18" s="1" customFormat="1" ht="26.25" customHeight="1">
      <c r="A1" s="179" t="s">
        <v>182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8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9"/>
    </row>
    <row r="3" spans="1:18" s="3" customFormat="1" ht="13.5" customHeight="1">
      <c r="A3" s="181"/>
      <c r="B3" s="183"/>
      <c r="C3" s="184" t="s">
        <v>0</v>
      </c>
      <c r="D3" s="185" t="s">
        <v>192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191</v>
      </c>
      <c r="N3" s="172" t="s">
        <v>177</v>
      </c>
      <c r="O3" s="172"/>
      <c r="P3" s="172"/>
      <c r="Q3" s="127"/>
      <c r="R3" s="130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174</v>
      </c>
      <c r="H4" s="177" t="s">
        <v>175</v>
      </c>
      <c r="I4" s="170" t="s">
        <v>187</v>
      </c>
      <c r="J4" s="166" t="s">
        <v>188</v>
      </c>
      <c r="K4" s="125" t="s">
        <v>173</v>
      </c>
      <c r="L4" s="132" t="s">
        <v>172</v>
      </c>
      <c r="M4" s="189"/>
      <c r="N4" s="168" t="s">
        <v>185</v>
      </c>
      <c r="O4" s="170" t="s">
        <v>136</v>
      </c>
      <c r="P4" s="172" t="s">
        <v>135</v>
      </c>
      <c r="Q4" s="133" t="s">
        <v>173</v>
      </c>
      <c r="R4" s="134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176</v>
      </c>
      <c r="L5" s="164"/>
      <c r="M5" s="189"/>
      <c r="N5" s="169"/>
      <c r="O5" s="171"/>
      <c r="P5" s="172"/>
      <c r="Q5" s="153" t="s">
        <v>178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/>
      <c r="F6" s="10" t="s">
        <v>5</v>
      </c>
      <c r="G6" s="10"/>
      <c r="H6" s="10"/>
      <c r="I6" s="10" t="s">
        <v>6</v>
      </c>
      <c r="J6" s="10" t="s">
        <v>7</v>
      </c>
      <c r="K6" s="10"/>
      <c r="L6" s="10"/>
      <c r="M6" s="10" t="s">
        <v>122</v>
      </c>
      <c r="N6" s="10" t="s">
        <v>169</v>
      </c>
      <c r="O6" s="10" t="s">
        <v>8</v>
      </c>
      <c r="P6" s="10" t="s">
        <v>105</v>
      </c>
      <c r="Q6" s="10"/>
      <c r="R6" s="135"/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5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6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7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56">
        <f>F10-26732.4</f>
        <v>-164.29000000000087</v>
      </c>
      <c r="L10" s="56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3">
        <f>N10-26732.4</f>
        <v>-164.29000000000087</v>
      </c>
      <c r="R10" s="144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7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7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7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7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7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7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7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7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7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/>
      <c r="R20" s="137"/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/>
      <c r="R21" s="137"/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/>
      <c r="R22" s="137"/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/>
      <c r="R23" s="137"/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/>
      <c r="R24" s="137"/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/>
      <c r="R25" s="137"/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/>
      <c r="R26" s="137"/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/>
      <c r="R27" s="137"/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/>
      <c r="R28" s="137"/>
    </row>
    <row r="29" spans="1:18" s="6" customFormat="1" ht="15.75">
      <c r="A29" s="8"/>
      <c r="B29" s="76" t="s">
        <v>180</v>
      </c>
      <c r="C29" s="145">
        <v>11010232</v>
      </c>
      <c r="D29" s="146">
        <v>3000</v>
      </c>
      <c r="E29" s="146">
        <v>358.8</v>
      </c>
      <c r="F29" s="148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7">
        <f>F29-160.03</f>
        <v>198.76000000000002</v>
      </c>
      <c r="L29" s="147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56"/>
      <c r="R29" s="137"/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7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7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7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4" ref="G33:G55">F33-E33</f>
        <v>0.09000000000014552</v>
      </c>
      <c r="H33" s="40">
        <f aca="true" t="shared" si="15" ref="H33:H55">F33/E33*100</f>
        <v>100.00143011504481</v>
      </c>
      <c r="I33" s="56">
        <f>F33-D33</f>
        <v>-81772.71</v>
      </c>
      <c r="J33" s="56">
        <f aca="true" t="shared" si="16" ref="J33:J55">F33/D33*100</f>
        <v>7.146106329343901</v>
      </c>
      <c r="K33" s="56">
        <f>F33-6172.8</f>
        <v>120.48999999999978</v>
      </c>
      <c r="L33" s="56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7" ref="P33:P55">N33/M33*100</f>
        <v>100.00143011504481</v>
      </c>
      <c r="Q33" s="143">
        <f>N33-6172.8</f>
        <v>120.48999999999978</v>
      </c>
      <c r="R33" s="144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55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56">
        <f aca="true" t="shared" si="20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7"/>
        <v>#DIV/0!</v>
      </c>
      <c r="Q34" s="56"/>
      <c r="R34" s="137"/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56">
        <f t="shared" si="20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7"/>
        <v>#DIV/0!</v>
      </c>
      <c r="Q35" s="56"/>
      <c r="R35" s="137"/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56">
        <f t="shared" si="20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7"/>
        <v>#DIV/0!</v>
      </c>
      <c r="Q36" s="56"/>
      <c r="R36" s="137"/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56">
        <f t="shared" si="20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7"/>
        <v>#DIV/0!</v>
      </c>
      <c r="Q37" s="56"/>
      <c r="R37" s="137"/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56">
        <f t="shared" si="20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7"/>
        <v>#DIV/0!</v>
      </c>
      <c r="Q38" s="56"/>
      <c r="R38" s="137"/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56">
        <f t="shared" si="20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7"/>
        <v>#DIV/0!</v>
      </c>
      <c r="Q39" s="56"/>
      <c r="R39" s="137"/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56">
        <f t="shared" si="20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7"/>
        <v>#DIV/0!</v>
      </c>
      <c r="Q40" s="56"/>
      <c r="R40" s="137"/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56">
        <f t="shared" si="20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7"/>
        <v>#DIV/0!</v>
      </c>
      <c r="Q41" s="56"/>
      <c r="R41" s="137"/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56">
        <f t="shared" si="20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7"/>
        <v>#DIV/0!</v>
      </c>
      <c r="Q42" s="56"/>
      <c r="R42" s="137"/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56">
        <f t="shared" si="20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7"/>
        <v>#DIV/0!</v>
      </c>
      <c r="Q43" s="56"/>
      <c r="R43" s="137"/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56">
        <f t="shared" si="20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7"/>
        <v>#DIV/0!</v>
      </c>
      <c r="Q44" s="56"/>
      <c r="R44" s="137"/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56">
        <f t="shared" si="20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7"/>
        <v>#DIV/0!</v>
      </c>
      <c r="Q45" s="56"/>
      <c r="R45" s="137"/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56">
        <f t="shared" si="20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7"/>
        <v>#DIV/0!</v>
      </c>
      <c r="Q46" s="56"/>
      <c r="R46" s="137"/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56">
        <f t="shared" si="20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7"/>
        <v>#DIV/0!</v>
      </c>
      <c r="Q47" s="56"/>
      <c r="R47" s="137"/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56">
        <f t="shared" si="20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7"/>
        <v>#DIV/0!</v>
      </c>
      <c r="Q48" s="56"/>
      <c r="R48" s="137"/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56">
        <f t="shared" si="20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7"/>
        <v>#DIV/0!</v>
      </c>
      <c r="Q49" s="56"/>
      <c r="R49" s="137"/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56">
        <f t="shared" si="20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7"/>
        <v>#DIV/0!</v>
      </c>
      <c r="Q50" s="56"/>
      <c r="R50" s="137"/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56">
        <f t="shared" si="20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7"/>
        <v>#DIV/0!</v>
      </c>
      <c r="Q51" s="56"/>
      <c r="R51" s="137"/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56">
        <f t="shared" si="20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7"/>
        <v>#DIV/0!</v>
      </c>
      <c r="Q52" s="56"/>
      <c r="R52" s="137"/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56">
        <f t="shared" si="20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7"/>
        <v>#DIV/0!</v>
      </c>
      <c r="Q53" s="56"/>
      <c r="R53" s="137"/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56">
        <f t="shared" si="20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7"/>
        <v>#DIV/0!</v>
      </c>
      <c r="Q54" s="56"/>
      <c r="R54" s="137"/>
    </row>
    <row r="55" spans="1:18" s="6" customFormat="1" ht="15.75">
      <c r="A55" s="8"/>
      <c r="B55" s="76" t="s">
        <v>181</v>
      </c>
      <c r="C55" s="65"/>
      <c r="D55" s="146">
        <v>66266</v>
      </c>
      <c r="E55" s="146">
        <v>4687.9</v>
      </c>
      <c r="F55" s="148">
        <v>4687.91</v>
      </c>
      <c r="G55" s="146">
        <f t="shared" si="14"/>
        <v>0.010000000000218279</v>
      </c>
      <c r="H55" s="148">
        <f t="shared" si="15"/>
        <v>100.00021331513045</v>
      </c>
      <c r="I55" s="147">
        <f t="shared" si="18"/>
        <v>-61578.09</v>
      </c>
      <c r="J55" s="147">
        <f t="shared" si="16"/>
        <v>7.074382036036579</v>
      </c>
      <c r="K55" s="147">
        <f>F55-4574.19</f>
        <v>113.72000000000025</v>
      </c>
      <c r="L55" s="147">
        <f>F55/4574.19*100</f>
        <v>102.48612322618868</v>
      </c>
      <c r="M55" s="40">
        <f t="shared" si="6"/>
        <v>4687.9</v>
      </c>
      <c r="N55" s="40">
        <f t="shared" si="7"/>
        <v>4687.91</v>
      </c>
      <c r="O55" s="53">
        <f t="shared" si="3"/>
        <v>0.010000000000218279</v>
      </c>
      <c r="P55" s="56">
        <f t="shared" si="17"/>
        <v>100.00021331513045</v>
      </c>
      <c r="Q55" s="56"/>
      <c r="R55" s="137"/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1" ref="G56:G72">F56-E56</f>
        <v>0.09999999999990905</v>
      </c>
      <c r="H56" s="40">
        <f aca="true" t="shared" si="22" ref="H56:H67">F56/E56*100</f>
        <v>100.01895016107636</v>
      </c>
      <c r="I56" s="56">
        <f aca="true" t="shared" si="23" ref="I56:I72">F56-D56</f>
        <v>-6332.2</v>
      </c>
      <c r="J56" s="56">
        <f aca="true" t="shared" si="24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5" ref="O56:O72">N56-M56</f>
        <v>0.09999999999990905</v>
      </c>
      <c r="P56" s="56">
        <f aca="true" t="shared" si="26" ref="P56:P67">N56/M56*100</f>
        <v>100.01895016107636</v>
      </c>
      <c r="Q56" s="56">
        <f>N56-501.4</f>
        <v>26.399999999999977</v>
      </c>
      <c r="R56" s="137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1"/>
        <v>0</v>
      </c>
      <c r="H57" s="40" t="e">
        <f t="shared" si="22"/>
        <v>#DIV/0!</v>
      </c>
      <c r="I57" s="56">
        <f t="shared" si="23"/>
        <v>0</v>
      </c>
      <c r="J57" s="56" t="e">
        <f t="shared" si="24"/>
        <v>#DIV/0!</v>
      </c>
      <c r="K57" s="56"/>
      <c r="L57" s="56">
        <f aca="true" t="shared" si="27" ref="L57:L67">F57</f>
        <v>0</v>
      </c>
      <c r="M57" s="40">
        <f t="shared" si="6"/>
        <v>0</v>
      </c>
      <c r="N57" s="40">
        <f t="shared" si="7"/>
        <v>0</v>
      </c>
      <c r="O57" s="53">
        <f t="shared" si="25"/>
        <v>0</v>
      </c>
      <c r="P57" s="56" t="e">
        <f t="shared" si="26"/>
        <v>#DIV/0!</v>
      </c>
      <c r="Q57" s="56"/>
      <c r="R57" s="137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1"/>
        <v>0</v>
      </c>
      <c r="H58" s="40" t="e">
        <f t="shared" si="22"/>
        <v>#DIV/0!</v>
      </c>
      <c r="I58" s="56">
        <f t="shared" si="23"/>
        <v>0</v>
      </c>
      <c r="J58" s="56" t="e">
        <f t="shared" si="24"/>
        <v>#DIV/0!</v>
      </c>
      <c r="K58" s="56"/>
      <c r="L58" s="56">
        <f t="shared" si="27"/>
        <v>0</v>
      </c>
      <c r="M58" s="40">
        <f t="shared" si="6"/>
        <v>0</v>
      </c>
      <c r="N58" s="40">
        <f t="shared" si="7"/>
        <v>0</v>
      </c>
      <c r="O58" s="53">
        <f t="shared" si="25"/>
        <v>0</v>
      </c>
      <c r="P58" s="56" t="e">
        <f t="shared" si="26"/>
        <v>#DIV/0!</v>
      </c>
      <c r="Q58" s="56"/>
      <c r="R58" s="137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1"/>
        <v>0</v>
      </c>
      <c r="H59" s="40" t="e">
        <f t="shared" si="22"/>
        <v>#DIV/0!</v>
      </c>
      <c r="I59" s="56">
        <f t="shared" si="23"/>
        <v>0</v>
      </c>
      <c r="J59" s="56" t="e">
        <f t="shared" si="24"/>
        <v>#DIV/0!</v>
      </c>
      <c r="K59" s="56"/>
      <c r="L59" s="56">
        <f t="shared" si="27"/>
        <v>0</v>
      </c>
      <c r="M59" s="40">
        <f t="shared" si="6"/>
        <v>0</v>
      </c>
      <c r="N59" s="40">
        <f t="shared" si="7"/>
        <v>0</v>
      </c>
      <c r="O59" s="53">
        <f t="shared" si="25"/>
        <v>0</v>
      </c>
      <c r="P59" s="56" t="e">
        <f t="shared" si="26"/>
        <v>#DIV/0!</v>
      </c>
      <c r="Q59" s="56"/>
      <c r="R59" s="137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1"/>
        <v>0</v>
      </c>
      <c r="H60" s="40" t="e">
        <f t="shared" si="22"/>
        <v>#DIV/0!</v>
      </c>
      <c r="I60" s="56">
        <f t="shared" si="23"/>
        <v>0</v>
      </c>
      <c r="J60" s="56" t="e">
        <f t="shared" si="24"/>
        <v>#DIV/0!</v>
      </c>
      <c r="K60" s="56"/>
      <c r="L60" s="56">
        <f t="shared" si="27"/>
        <v>0</v>
      </c>
      <c r="M60" s="40">
        <f t="shared" si="6"/>
        <v>0</v>
      </c>
      <c r="N60" s="40">
        <f t="shared" si="7"/>
        <v>0</v>
      </c>
      <c r="O60" s="53">
        <f t="shared" si="25"/>
        <v>0</v>
      </c>
      <c r="P60" s="56" t="e">
        <f t="shared" si="26"/>
        <v>#DIV/0!</v>
      </c>
      <c r="Q60" s="56"/>
      <c r="R60" s="137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1"/>
        <v>0</v>
      </c>
      <c r="H61" s="40" t="e">
        <f t="shared" si="22"/>
        <v>#DIV/0!</v>
      </c>
      <c r="I61" s="56">
        <f t="shared" si="23"/>
        <v>0</v>
      </c>
      <c r="J61" s="56" t="e">
        <f t="shared" si="24"/>
        <v>#DIV/0!</v>
      </c>
      <c r="K61" s="56"/>
      <c r="L61" s="56">
        <f t="shared" si="27"/>
        <v>0</v>
      </c>
      <c r="M61" s="40">
        <f t="shared" si="6"/>
        <v>0</v>
      </c>
      <c r="N61" s="40">
        <f t="shared" si="7"/>
        <v>0</v>
      </c>
      <c r="O61" s="53">
        <f t="shared" si="25"/>
        <v>0</v>
      </c>
      <c r="P61" s="56" t="e">
        <f t="shared" si="26"/>
        <v>#DIV/0!</v>
      </c>
      <c r="Q61" s="56"/>
      <c r="R61" s="137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1"/>
        <v>0</v>
      </c>
      <c r="H62" s="40" t="e">
        <f t="shared" si="22"/>
        <v>#DIV/0!</v>
      </c>
      <c r="I62" s="56">
        <f t="shared" si="23"/>
        <v>0</v>
      </c>
      <c r="J62" s="56" t="e">
        <f t="shared" si="24"/>
        <v>#DIV/0!</v>
      </c>
      <c r="K62" s="56"/>
      <c r="L62" s="56">
        <f t="shared" si="27"/>
        <v>0</v>
      </c>
      <c r="M62" s="40">
        <f t="shared" si="6"/>
        <v>0</v>
      </c>
      <c r="N62" s="40">
        <f t="shared" si="7"/>
        <v>0</v>
      </c>
      <c r="O62" s="53">
        <f t="shared" si="25"/>
        <v>0</v>
      </c>
      <c r="P62" s="56" t="e">
        <f t="shared" si="26"/>
        <v>#DIV/0!</v>
      </c>
      <c r="Q62" s="56"/>
      <c r="R62" s="137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1"/>
        <v>0</v>
      </c>
      <c r="H63" s="40" t="e">
        <f t="shared" si="22"/>
        <v>#DIV/0!</v>
      </c>
      <c r="I63" s="56">
        <f t="shared" si="23"/>
        <v>0</v>
      </c>
      <c r="J63" s="56" t="e">
        <f t="shared" si="24"/>
        <v>#DIV/0!</v>
      </c>
      <c r="K63" s="56"/>
      <c r="L63" s="56">
        <f t="shared" si="27"/>
        <v>0</v>
      </c>
      <c r="M63" s="40">
        <f t="shared" si="6"/>
        <v>0</v>
      </c>
      <c r="N63" s="40">
        <f t="shared" si="7"/>
        <v>0</v>
      </c>
      <c r="O63" s="53">
        <f t="shared" si="25"/>
        <v>0</v>
      </c>
      <c r="P63" s="56" t="e">
        <f t="shared" si="26"/>
        <v>#DIV/0!</v>
      </c>
      <c r="Q63" s="56"/>
      <c r="R63" s="137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1"/>
        <v>0</v>
      </c>
      <c r="H64" s="40" t="e">
        <f t="shared" si="22"/>
        <v>#DIV/0!</v>
      </c>
      <c r="I64" s="56">
        <f t="shared" si="23"/>
        <v>0</v>
      </c>
      <c r="J64" s="56" t="e">
        <f t="shared" si="24"/>
        <v>#DIV/0!</v>
      </c>
      <c r="K64" s="56"/>
      <c r="L64" s="56">
        <f t="shared" si="27"/>
        <v>0</v>
      </c>
      <c r="M64" s="40">
        <f t="shared" si="6"/>
        <v>0</v>
      </c>
      <c r="N64" s="40">
        <f t="shared" si="7"/>
        <v>0</v>
      </c>
      <c r="O64" s="53">
        <f t="shared" si="25"/>
        <v>0</v>
      </c>
      <c r="P64" s="56" t="e">
        <f t="shared" si="26"/>
        <v>#DIV/0!</v>
      </c>
      <c r="Q64" s="56"/>
      <c r="R64" s="137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1"/>
        <v>0</v>
      </c>
      <c r="H65" s="40" t="e">
        <f t="shared" si="22"/>
        <v>#DIV/0!</v>
      </c>
      <c r="I65" s="56">
        <f t="shared" si="23"/>
        <v>0</v>
      </c>
      <c r="J65" s="56" t="e">
        <f t="shared" si="24"/>
        <v>#DIV/0!</v>
      </c>
      <c r="K65" s="56"/>
      <c r="L65" s="56">
        <f t="shared" si="27"/>
        <v>0</v>
      </c>
      <c r="M65" s="40">
        <f t="shared" si="6"/>
        <v>0</v>
      </c>
      <c r="N65" s="40">
        <f t="shared" si="7"/>
        <v>0</v>
      </c>
      <c r="O65" s="53">
        <f t="shared" si="25"/>
        <v>0</v>
      </c>
      <c r="P65" s="56" t="e">
        <f t="shared" si="26"/>
        <v>#DIV/0!</v>
      </c>
      <c r="Q65" s="56"/>
      <c r="R65" s="137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1"/>
        <v>0</v>
      </c>
      <c r="H66" s="40" t="e">
        <f t="shared" si="22"/>
        <v>#DIV/0!</v>
      </c>
      <c r="I66" s="56">
        <f t="shared" si="23"/>
        <v>0</v>
      </c>
      <c r="J66" s="56" t="e">
        <f t="shared" si="24"/>
        <v>#DIV/0!</v>
      </c>
      <c r="K66" s="56"/>
      <c r="L66" s="56">
        <f t="shared" si="27"/>
        <v>0</v>
      </c>
      <c r="M66" s="40">
        <f t="shared" si="6"/>
        <v>0</v>
      </c>
      <c r="N66" s="40">
        <f t="shared" si="7"/>
        <v>0</v>
      </c>
      <c r="O66" s="53">
        <f t="shared" si="25"/>
        <v>0</v>
      </c>
      <c r="P66" s="56" t="e">
        <f t="shared" si="26"/>
        <v>#DIV/0!</v>
      </c>
      <c r="Q66" s="56"/>
      <c r="R66" s="137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1"/>
        <v>0</v>
      </c>
      <c r="H67" s="40" t="e">
        <f t="shared" si="22"/>
        <v>#DIV/0!</v>
      </c>
      <c r="I67" s="56">
        <f t="shared" si="23"/>
        <v>0</v>
      </c>
      <c r="J67" s="56" t="e">
        <f t="shared" si="24"/>
        <v>#DIV/0!</v>
      </c>
      <c r="K67" s="56"/>
      <c r="L67" s="56">
        <f t="shared" si="27"/>
        <v>0</v>
      </c>
      <c r="M67" s="40">
        <f t="shared" si="6"/>
        <v>0</v>
      </c>
      <c r="N67" s="40">
        <f t="shared" si="7"/>
        <v>0</v>
      </c>
      <c r="O67" s="53">
        <f t="shared" si="25"/>
        <v>0</v>
      </c>
      <c r="P67" s="56" t="e">
        <f t="shared" si="26"/>
        <v>#DIV/0!</v>
      </c>
      <c r="Q67" s="56"/>
      <c r="R67" s="137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1"/>
        <v>0.04999999999999999</v>
      </c>
      <c r="H68" s="40"/>
      <c r="I68" s="56">
        <f t="shared" si="23"/>
        <v>0.04999999999999999</v>
      </c>
      <c r="J68" s="56">
        <f t="shared" si="24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5"/>
        <v>0.04999999999999999</v>
      </c>
      <c r="P68" s="56"/>
      <c r="Q68" s="56">
        <f>N68-0.2</f>
        <v>-0.05000000000000002</v>
      </c>
      <c r="R68" s="137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1"/>
        <v>0</v>
      </c>
      <c r="H69" s="40" t="e">
        <f>F69/E69*100</f>
        <v>#DIV/0!</v>
      </c>
      <c r="I69" s="56">
        <f t="shared" si="23"/>
        <v>0</v>
      </c>
      <c r="J69" s="56" t="e">
        <f t="shared" si="24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5"/>
        <v>#REF!</v>
      </c>
      <c r="P69" s="56" t="e">
        <f>N69/M69*100</f>
        <v>#REF!</v>
      </c>
      <c r="Q69" s="56"/>
      <c r="R69" s="137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1"/>
        <v>0</v>
      </c>
      <c r="H70" s="40" t="e">
        <f>F70/E70*100</f>
        <v>#DIV/0!</v>
      </c>
      <c r="I70" s="56">
        <f t="shared" si="23"/>
        <v>0</v>
      </c>
      <c r="J70" s="56" t="e">
        <f t="shared" si="24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5"/>
        <v>#REF!</v>
      </c>
      <c r="P70" s="56" t="e">
        <f>N70/M70*100</f>
        <v>#REF!</v>
      </c>
      <c r="Q70" s="56"/>
      <c r="R70" s="137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1"/>
        <v>0</v>
      </c>
      <c r="H71" s="40" t="e">
        <f>F71/E71*100</f>
        <v>#DIV/0!</v>
      </c>
      <c r="I71" s="56">
        <f t="shared" si="23"/>
        <v>-4590</v>
      </c>
      <c r="J71" s="56">
        <f t="shared" si="24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5"/>
        <v>#REF!</v>
      </c>
      <c r="P71" s="56" t="e">
        <f>F71/M71*100</f>
        <v>#REF!</v>
      </c>
      <c r="Q71" s="56"/>
      <c r="R71" s="137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1"/>
        <v>0</v>
      </c>
      <c r="H72" s="40" t="e">
        <f>F72/E72*100</f>
        <v>#DIV/0!</v>
      </c>
      <c r="I72" s="56">
        <f t="shared" si="23"/>
        <v>-4410</v>
      </c>
      <c r="J72" s="56">
        <f t="shared" si="24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5"/>
        <v>#REF!</v>
      </c>
      <c r="P72" s="56" t="e">
        <f>F72/M72*100</f>
        <v>#REF!</v>
      </c>
      <c r="Q72" s="56"/>
      <c r="R72" s="137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7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28" ref="G74:G92">F74-E74</f>
        <v>4.6299999999999955</v>
      </c>
      <c r="H74" s="51">
        <f aca="true" t="shared" si="29" ref="H74:H86">F74/E74*100</f>
        <v>100.45705824284303</v>
      </c>
      <c r="I74" s="36">
        <f aca="true" t="shared" si="30" ref="I74:I92">F74-D74</f>
        <v>-16647.969999999998</v>
      </c>
      <c r="J74" s="36">
        <f aca="true" t="shared" si="31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2" ref="O74:O92">N74-M74</f>
        <v>4.6299999999999955</v>
      </c>
      <c r="P74" s="36">
        <f>N74/M74*100</f>
        <v>100.45705824284303</v>
      </c>
      <c r="Q74" s="36">
        <f>N74-920</f>
        <v>97.63</v>
      </c>
      <c r="R74" s="138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8"/>
        <v>#REF!</v>
      </c>
      <c r="H75" s="40" t="e">
        <f t="shared" si="29"/>
        <v>#REF!</v>
      </c>
      <c r="I75" s="56" t="e">
        <f t="shared" si="30"/>
        <v>#REF!</v>
      </c>
      <c r="J75" s="56" t="e">
        <f t="shared" si="31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2"/>
        <v>#REF!</v>
      </c>
      <c r="P75" s="56" t="e">
        <f>F75/M75*100</f>
        <v>#REF!</v>
      </c>
      <c r="Q75" s="56"/>
      <c r="R75" s="137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8"/>
        <v>0</v>
      </c>
      <c r="H76" s="40" t="e">
        <f t="shared" si="29"/>
        <v>#DIV/0!</v>
      </c>
      <c r="I76" s="56" t="e">
        <f t="shared" si="30"/>
        <v>#REF!</v>
      </c>
      <c r="J76" s="56" t="e">
        <f t="shared" si="31"/>
        <v>#REF!</v>
      </c>
      <c r="K76" s="56"/>
      <c r="L76" s="56"/>
      <c r="M76" s="59"/>
      <c r="N76" s="59"/>
      <c r="O76" s="53">
        <f t="shared" si="32"/>
        <v>0</v>
      </c>
      <c r="P76" s="56" t="e">
        <f>F76/M76*100</f>
        <v>#DIV/0!</v>
      </c>
      <c r="Q76" s="56"/>
      <c r="R76" s="137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28"/>
        <v>0</v>
      </c>
      <c r="H77" s="40" t="e">
        <f t="shared" si="29"/>
        <v>#DIV/0!</v>
      </c>
      <c r="I77" s="56">
        <f t="shared" si="30"/>
        <v>-1700</v>
      </c>
      <c r="J77" s="56">
        <f t="shared" si="31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2"/>
        <v>0</v>
      </c>
      <c r="P77" s="56" t="e">
        <f aca="true" t="shared" si="33" ref="P77:P86">N77/M77*100</f>
        <v>#DIV/0!</v>
      </c>
      <c r="Q77" s="56">
        <f>N77-0.9</f>
        <v>-0.9</v>
      </c>
      <c r="R77" s="137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8"/>
        <v>0</v>
      </c>
      <c r="H78" s="40" t="e">
        <f t="shared" si="29"/>
        <v>#DIV/0!</v>
      </c>
      <c r="I78" s="56">
        <f t="shared" si="30"/>
        <v>0</v>
      </c>
      <c r="J78" s="56" t="e">
        <f t="shared" si="31"/>
        <v>#DIV/0!</v>
      </c>
      <c r="K78" s="56"/>
      <c r="L78" s="56">
        <f aca="true" t="shared" si="34" ref="L78:L101">F78</f>
        <v>0</v>
      </c>
      <c r="M78" s="40">
        <f aca="true" t="shared" si="35" ref="M78:M105">E78</f>
        <v>0</v>
      </c>
      <c r="N78" s="40">
        <f aca="true" t="shared" si="36" ref="N78:N105">F78</f>
        <v>0</v>
      </c>
      <c r="O78" s="53">
        <f t="shared" si="32"/>
        <v>0</v>
      </c>
      <c r="P78" s="56" t="e">
        <f t="shared" si="33"/>
        <v>#DIV/0!</v>
      </c>
      <c r="Q78" s="56"/>
      <c r="R78" s="137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8"/>
        <v>0</v>
      </c>
      <c r="H79" s="40" t="e">
        <f t="shared" si="29"/>
        <v>#DIV/0!</v>
      </c>
      <c r="I79" s="56">
        <f t="shared" si="30"/>
        <v>0</v>
      </c>
      <c r="J79" s="56" t="e">
        <f t="shared" si="31"/>
        <v>#DIV/0!</v>
      </c>
      <c r="K79" s="56"/>
      <c r="L79" s="56">
        <f t="shared" si="34"/>
        <v>0</v>
      </c>
      <c r="M79" s="40">
        <f t="shared" si="35"/>
        <v>0</v>
      </c>
      <c r="N79" s="40">
        <f t="shared" si="36"/>
        <v>0</v>
      </c>
      <c r="O79" s="53">
        <f t="shared" si="32"/>
        <v>0</v>
      </c>
      <c r="P79" s="56" t="e">
        <f t="shared" si="33"/>
        <v>#DIV/0!</v>
      </c>
      <c r="Q79" s="56"/>
      <c r="R79" s="137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8"/>
        <v>0</v>
      </c>
      <c r="H80" s="40" t="e">
        <f t="shared" si="29"/>
        <v>#DIV/0!</v>
      </c>
      <c r="I80" s="56">
        <f t="shared" si="30"/>
        <v>0</v>
      </c>
      <c r="J80" s="56" t="e">
        <f t="shared" si="31"/>
        <v>#DIV/0!</v>
      </c>
      <c r="K80" s="56"/>
      <c r="L80" s="56">
        <f t="shared" si="34"/>
        <v>0</v>
      </c>
      <c r="M80" s="40">
        <f t="shared" si="35"/>
        <v>0</v>
      </c>
      <c r="N80" s="40">
        <f t="shared" si="36"/>
        <v>0</v>
      </c>
      <c r="O80" s="53">
        <f t="shared" si="32"/>
        <v>0</v>
      </c>
      <c r="P80" s="56" t="e">
        <f t="shared" si="33"/>
        <v>#DIV/0!</v>
      </c>
      <c r="Q80" s="56"/>
      <c r="R80" s="137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8"/>
        <v>0</v>
      </c>
      <c r="H81" s="40" t="e">
        <f t="shared" si="29"/>
        <v>#DIV/0!</v>
      </c>
      <c r="I81" s="56">
        <f t="shared" si="30"/>
        <v>0</v>
      </c>
      <c r="J81" s="56" t="e">
        <f t="shared" si="31"/>
        <v>#DIV/0!</v>
      </c>
      <c r="K81" s="56"/>
      <c r="L81" s="56">
        <f t="shared" si="34"/>
        <v>0</v>
      </c>
      <c r="M81" s="40">
        <f t="shared" si="35"/>
        <v>0</v>
      </c>
      <c r="N81" s="40">
        <f t="shared" si="36"/>
        <v>0</v>
      </c>
      <c r="O81" s="53">
        <f t="shared" si="32"/>
        <v>0</v>
      </c>
      <c r="P81" s="56" t="e">
        <f t="shared" si="33"/>
        <v>#DIV/0!</v>
      </c>
      <c r="Q81" s="56"/>
      <c r="R81" s="137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8"/>
        <v>0</v>
      </c>
      <c r="H82" s="40" t="e">
        <f t="shared" si="29"/>
        <v>#DIV/0!</v>
      </c>
      <c r="I82" s="56">
        <f t="shared" si="30"/>
        <v>0</v>
      </c>
      <c r="J82" s="56" t="e">
        <f t="shared" si="31"/>
        <v>#DIV/0!</v>
      </c>
      <c r="K82" s="56"/>
      <c r="L82" s="56">
        <f t="shared" si="34"/>
        <v>0</v>
      </c>
      <c r="M82" s="40">
        <f t="shared" si="35"/>
        <v>0</v>
      </c>
      <c r="N82" s="40">
        <f t="shared" si="36"/>
        <v>0</v>
      </c>
      <c r="O82" s="53">
        <f t="shared" si="32"/>
        <v>0</v>
      </c>
      <c r="P82" s="56" t="e">
        <f t="shared" si="33"/>
        <v>#DIV/0!</v>
      </c>
      <c r="Q82" s="56"/>
      <c r="R82" s="137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8"/>
        <v>0</v>
      </c>
      <c r="H83" s="40" t="e">
        <f t="shared" si="29"/>
        <v>#DIV/0!</v>
      </c>
      <c r="I83" s="56">
        <f t="shared" si="30"/>
        <v>0</v>
      </c>
      <c r="J83" s="56" t="e">
        <f t="shared" si="31"/>
        <v>#DIV/0!</v>
      </c>
      <c r="K83" s="56"/>
      <c r="L83" s="56">
        <f t="shared" si="34"/>
        <v>0</v>
      </c>
      <c r="M83" s="40">
        <f t="shared" si="35"/>
        <v>0</v>
      </c>
      <c r="N83" s="40">
        <f t="shared" si="36"/>
        <v>0</v>
      </c>
      <c r="O83" s="53">
        <f t="shared" si="32"/>
        <v>0</v>
      </c>
      <c r="P83" s="56" t="e">
        <f t="shared" si="33"/>
        <v>#DIV/0!</v>
      </c>
      <c r="Q83" s="56"/>
      <c r="R83" s="137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8"/>
        <v>0</v>
      </c>
      <c r="H84" s="40" t="e">
        <f t="shared" si="29"/>
        <v>#DIV/0!</v>
      </c>
      <c r="I84" s="56">
        <f t="shared" si="30"/>
        <v>0</v>
      </c>
      <c r="J84" s="56" t="e">
        <f t="shared" si="31"/>
        <v>#DIV/0!</v>
      </c>
      <c r="K84" s="56"/>
      <c r="L84" s="56">
        <f t="shared" si="34"/>
        <v>0</v>
      </c>
      <c r="M84" s="40">
        <f t="shared" si="35"/>
        <v>0</v>
      </c>
      <c r="N84" s="40">
        <f t="shared" si="36"/>
        <v>0</v>
      </c>
      <c r="O84" s="53">
        <f t="shared" si="32"/>
        <v>0</v>
      </c>
      <c r="P84" s="56" t="e">
        <f t="shared" si="33"/>
        <v>#DIV/0!</v>
      </c>
      <c r="Q84" s="56"/>
      <c r="R84" s="137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8"/>
        <v>0</v>
      </c>
      <c r="H85" s="40" t="e">
        <f t="shared" si="29"/>
        <v>#DIV/0!</v>
      </c>
      <c r="I85" s="56">
        <f t="shared" si="30"/>
        <v>0</v>
      </c>
      <c r="J85" s="56" t="e">
        <f t="shared" si="31"/>
        <v>#DIV/0!</v>
      </c>
      <c r="K85" s="56"/>
      <c r="L85" s="56">
        <f t="shared" si="34"/>
        <v>0</v>
      </c>
      <c r="M85" s="40">
        <f t="shared" si="35"/>
        <v>0</v>
      </c>
      <c r="N85" s="40">
        <f t="shared" si="36"/>
        <v>0</v>
      </c>
      <c r="O85" s="53">
        <f t="shared" si="32"/>
        <v>0</v>
      </c>
      <c r="P85" s="56" t="e">
        <f t="shared" si="33"/>
        <v>#DIV/0!</v>
      </c>
      <c r="Q85" s="56"/>
      <c r="R85" s="137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8"/>
        <v>0</v>
      </c>
      <c r="H86" s="40" t="e">
        <f t="shared" si="29"/>
        <v>#DIV/0!</v>
      </c>
      <c r="I86" s="56">
        <f t="shared" si="30"/>
        <v>-4300</v>
      </c>
      <c r="J86" s="56">
        <f t="shared" si="31"/>
        <v>0</v>
      </c>
      <c r="K86" s="56">
        <f>F86-0</f>
        <v>0</v>
      </c>
      <c r="L86" s="56" t="e">
        <f>F86/0*100</f>
        <v>#DIV/0!</v>
      </c>
      <c r="M86" s="40">
        <f t="shared" si="35"/>
        <v>0</v>
      </c>
      <c r="N86" s="40">
        <f t="shared" si="36"/>
        <v>0</v>
      </c>
      <c r="O86" s="53">
        <f t="shared" si="32"/>
        <v>0</v>
      </c>
      <c r="P86" s="56" t="e">
        <f t="shared" si="33"/>
        <v>#DIV/0!</v>
      </c>
      <c r="Q86" s="56">
        <f>N86-0</f>
        <v>0</v>
      </c>
      <c r="R86" s="137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5"/>
        <v>0</v>
      </c>
      <c r="N87" s="40">
        <f t="shared" si="36"/>
        <v>4.23</v>
      </c>
      <c r="O87" s="53"/>
      <c r="P87" s="56"/>
      <c r="Q87" s="56"/>
      <c r="R87" s="137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28"/>
        <v>0</v>
      </c>
      <c r="H88" s="40" t="e">
        <f>F88/E88*100</f>
        <v>#DIV/0!</v>
      </c>
      <c r="I88" s="56">
        <f t="shared" si="30"/>
        <v>-5.1</v>
      </c>
      <c r="J88" s="56">
        <f t="shared" si="31"/>
        <v>0</v>
      </c>
      <c r="K88" s="56">
        <f>F88-0</f>
        <v>0</v>
      </c>
      <c r="L88" s="56" t="e">
        <f>F88/0*100</f>
        <v>#DIV/0!</v>
      </c>
      <c r="M88" s="40">
        <f t="shared" si="35"/>
        <v>0</v>
      </c>
      <c r="N88" s="40">
        <f t="shared" si="36"/>
        <v>0</v>
      </c>
      <c r="O88" s="53">
        <f t="shared" si="32"/>
        <v>0</v>
      </c>
      <c r="P88" s="56" t="e">
        <f>N88/M88*100</f>
        <v>#DIV/0!</v>
      </c>
      <c r="Q88" s="56">
        <f>N88-0</f>
        <v>0</v>
      </c>
      <c r="R88" s="137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28"/>
        <v>0.019999999999999574</v>
      </c>
      <c r="H89" s="40">
        <f>F89/E89*100</f>
        <v>100.22222222222221</v>
      </c>
      <c r="I89" s="56">
        <f t="shared" si="30"/>
        <v>-165.98</v>
      </c>
      <c r="J89" s="56">
        <f t="shared" si="31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5"/>
        <v>9</v>
      </c>
      <c r="N89" s="40">
        <f t="shared" si="36"/>
        <v>9.02</v>
      </c>
      <c r="O89" s="53">
        <f t="shared" si="32"/>
        <v>0.019999999999999574</v>
      </c>
      <c r="P89" s="56">
        <f>N89/M89*100</f>
        <v>100.22222222222221</v>
      </c>
      <c r="Q89" s="56">
        <f>N89-11.9</f>
        <v>-2.880000000000001</v>
      </c>
      <c r="R89" s="137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8"/>
        <v>0</v>
      </c>
      <c r="H90" s="40" t="e">
        <f>F90/E90*100</f>
        <v>#DIV/0!</v>
      </c>
      <c r="I90" s="56">
        <f t="shared" si="30"/>
        <v>0</v>
      </c>
      <c r="J90" s="56" t="e">
        <f t="shared" si="31"/>
        <v>#DIV/0!</v>
      </c>
      <c r="K90" s="56"/>
      <c r="L90" s="56">
        <f t="shared" si="34"/>
        <v>0</v>
      </c>
      <c r="M90" s="40">
        <f t="shared" si="35"/>
        <v>0</v>
      </c>
      <c r="N90" s="40">
        <f t="shared" si="36"/>
        <v>0</v>
      </c>
      <c r="O90" s="53">
        <f t="shared" si="32"/>
        <v>0</v>
      </c>
      <c r="P90" s="56" t="e">
        <f>N90/M90*100</f>
        <v>#DIV/0!</v>
      </c>
      <c r="Q90" s="56"/>
      <c r="R90" s="137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8"/>
        <v>0</v>
      </c>
      <c r="H91" s="40" t="e">
        <f>F91/E91*100</f>
        <v>#DIV/0!</v>
      </c>
      <c r="I91" s="56">
        <f t="shared" si="30"/>
        <v>0</v>
      </c>
      <c r="J91" s="56" t="e">
        <f t="shared" si="31"/>
        <v>#DIV/0!</v>
      </c>
      <c r="K91" s="56"/>
      <c r="L91" s="56">
        <f t="shared" si="34"/>
        <v>0</v>
      </c>
      <c r="M91" s="40">
        <f t="shared" si="35"/>
        <v>0</v>
      </c>
      <c r="N91" s="40">
        <f t="shared" si="36"/>
        <v>0</v>
      </c>
      <c r="O91" s="53">
        <f t="shared" si="32"/>
        <v>0</v>
      </c>
      <c r="P91" s="56" t="e">
        <f>N91/M91*100</f>
        <v>#DIV/0!</v>
      </c>
      <c r="Q91" s="56"/>
      <c r="R91" s="137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8"/>
        <v>0</v>
      </c>
      <c r="H92" s="40" t="e">
        <f>F92/E92*100</f>
        <v>#DIV/0!</v>
      </c>
      <c r="I92" s="56">
        <f t="shared" si="30"/>
        <v>0</v>
      </c>
      <c r="J92" s="56" t="e">
        <f t="shared" si="31"/>
        <v>#DIV/0!</v>
      </c>
      <c r="K92" s="56"/>
      <c r="L92" s="56">
        <f t="shared" si="34"/>
        <v>0</v>
      </c>
      <c r="M92" s="40">
        <f t="shared" si="35"/>
        <v>0</v>
      </c>
      <c r="N92" s="40">
        <f t="shared" si="36"/>
        <v>0</v>
      </c>
      <c r="O92" s="53">
        <f t="shared" si="32"/>
        <v>0</v>
      </c>
      <c r="P92" s="56" t="e">
        <f>N92/M92*100</f>
        <v>#DIV/0!</v>
      </c>
      <c r="Q92" s="56"/>
      <c r="R92" s="137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4"/>
        <v>0</v>
      </c>
      <c r="M93" s="40">
        <f t="shared" si="35"/>
        <v>0</v>
      </c>
      <c r="N93" s="40">
        <f t="shared" si="36"/>
        <v>0</v>
      </c>
      <c r="O93" s="53"/>
      <c r="P93" s="56"/>
      <c r="Q93" s="56"/>
      <c r="R93" s="137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7" ref="G94:G101">F94-E94</f>
        <v>0</v>
      </c>
      <c r="H94" s="40"/>
      <c r="I94" s="56">
        <f aca="true" t="shared" si="38" ref="I94:I100">F94-D94</f>
        <v>0</v>
      </c>
      <c r="J94" s="56"/>
      <c r="K94" s="56"/>
      <c r="L94" s="56">
        <f t="shared" si="34"/>
        <v>0</v>
      </c>
      <c r="M94" s="40">
        <f t="shared" si="35"/>
        <v>0</v>
      </c>
      <c r="N94" s="40">
        <f t="shared" si="36"/>
        <v>0</v>
      </c>
      <c r="O94" s="53">
        <f aca="true" t="shared" si="39" ref="O94:O101">N94-M94</f>
        <v>0</v>
      </c>
      <c r="P94" s="56"/>
      <c r="Q94" s="56"/>
      <c r="R94" s="137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37"/>
        <v>-0.009999999999990905</v>
      </c>
      <c r="H95" s="40">
        <f>F95/E95*100</f>
        <v>99.9984555984556</v>
      </c>
      <c r="I95" s="56">
        <f t="shared" si="38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5"/>
        <v>647.5</v>
      </c>
      <c r="N95" s="40">
        <f t="shared" si="36"/>
        <v>647.49</v>
      </c>
      <c r="O95" s="53">
        <f t="shared" si="39"/>
        <v>-0.009999999999990905</v>
      </c>
      <c r="P95" s="56">
        <f>N95/M95*100</f>
        <v>99.9984555984556</v>
      </c>
      <c r="Q95" s="56">
        <f>N95-638.2</f>
        <v>9.289999999999964</v>
      </c>
      <c r="R95" s="137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37"/>
        <v>0.010000000000005116</v>
      </c>
      <c r="H96" s="40">
        <f>F96/E96*100</f>
        <v>100.0125786163522</v>
      </c>
      <c r="I96" s="56">
        <f t="shared" si="38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5"/>
        <v>79.5</v>
      </c>
      <c r="N96" s="40">
        <f t="shared" si="36"/>
        <v>79.51</v>
      </c>
      <c r="O96" s="53">
        <f t="shared" si="39"/>
        <v>0.010000000000005116</v>
      </c>
      <c r="P96" s="56">
        <f>N96/M96*100</f>
        <v>100.0125786163522</v>
      </c>
      <c r="Q96" s="56">
        <f>N96-17.2</f>
        <v>62.31</v>
      </c>
      <c r="R96" s="137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7"/>
        <v>0</v>
      </c>
      <c r="H97" s="40"/>
      <c r="I97" s="56">
        <f t="shared" si="38"/>
        <v>-40</v>
      </c>
      <c r="J97" s="56"/>
      <c r="K97" s="56"/>
      <c r="L97" s="56"/>
      <c r="M97" s="40">
        <f t="shared" si="35"/>
        <v>0</v>
      </c>
      <c r="N97" s="40">
        <f t="shared" si="36"/>
        <v>0</v>
      </c>
      <c r="O97" s="53">
        <f t="shared" si="39"/>
        <v>0</v>
      </c>
      <c r="P97" s="56"/>
      <c r="Q97" s="56">
        <f>N97-0</f>
        <v>0</v>
      </c>
      <c r="R97" s="137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7"/>
        <v>0</v>
      </c>
      <c r="H98" s="40" t="e">
        <f>F98/E98*100</f>
        <v>#DIV/0!</v>
      </c>
      <c r="I98" s="56">
        <f t="shared" si="38"/>
        <v>0</v>
      </c>
      <c r="J98" s="56" t="e">
        <f>F98/D98*100</f>
        <v>#DIV/0!</v>
      </c>
      <c r="K98" s="56"/>
      <c r="L98" s="56">
        <f t="shared" si="34"/>
        <v>0</v>
      </c>
      <c r="M98" s="40">
        <f t="shared" si="35"/>
        <v>0</v>
      </c>
      <c r="N98" s="40">
        <f t="shared" si="36"/>
        <v>0</v>
      </c>
      <c r="O98" s="53">
        <f t="shared" si="39"/>
        <v>0</v>
      </c>
      <c r="P98" s="56" t="e">
        <f>N98/M98*100</f>
        <v>#DIV/0!</v>
      </c>
      <c r="Q98" s="56"/>
      <c r="R98" s="137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37"/>
        <v>0.37999999999999545</v>
      </c>
      <c r="H99" s="40">
        <f>F99/E99*100</f>
        <v>100.13718411552345</v>
      </c>
      <c r="I99" s="56">
        <f t="shared" si="38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5"/>
        <v>277</v>
      </c>
      <c r="N99" s="40">
        <f t="shared" si="36"/>
        <v>277.38</v>
      </c>
      <c r="O99" s="53">
        <f t="shared" si="39"/>
        <v>0.37999999999999545</v>
      </c>
      <c r="P99" s="56">
        <f>N99/M99*100</f>
        <v>100.13718411552345</v>
      </c>
      <c r="Q99" s="56">
        <f>N99-236.4</f>
        <v>40.97999999999999</v>
      </c>
      <c r="R99" s="137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7"/>
        <v>0</v>
      </c>
      <c r="H100" s="40" t="e">
        <f>F100/E100*100</f>
        <v>#DIV/0!</v>
      </c>
      <c r="I100" s="56">
        <f t="shared" si="38"/>
        <v>0</v>
      </c>
      <c r="J100" s="56" t="e">
        <f>F100/D100*100</f>
        <v>#DIV/0!</v>
      </c>
      <c r="K100" s="56"/>
      <c r="L100" s="56">
        <f t="shared" si="34"/>
        <v>0</v>
      </c>
      <c r="M100" s="40">
        <f t="shared" si="35"/>
        <v>0</v>
      </c>
      <c r="N100" s="40">
        <f t="shared" si="36"/>
        <v>0</v>
      </c>
      <c r="O100" s="53">
        <f t="shared" si="39"/>
        <v>0</v>
      </c>
      <c r="P100" s="56" t="e">
        <f>F100/M100*100</f>
        <v>#DIV/0!</v>
      </c>
      <c r="Q100" s="56"/>
      <c r="R100" s="137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7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4"/>
        <v>0</v>
      </c>
      <c r="M101" s="40">
        <f t="shared" si="35"/>
        <v>0</v>
      </c>
      <c r="N101" s="40">
        <f t="shared" si="36"/>
        <v>0</v>
      </c>
      <c r="O101" s="53">
        <f t="shared" si="39"/>
        <v>0</v>
      </c>
      <c r="P101" s="56"/>
      <c r="Q101" s="56"/>
      <c r="R101" s="137"/>
    </row>
    <row r="102" spans="1:18" s="6" customFormat="1" ht="31.5">
      <c r="A102" s="8"/>
      <c r="B102" s="76" t="s">
        <v>127</v>
      </c>
      <c r="C102" s="91"/>
      <c r="D102" s="146"/>
      <c r="E102" s="146"/>
      <c r="F102" s="149">
        <v>64.7</v>
      </c>
      <c r="G102" s="146"/>
      <c r="H102" s="148"/>
      <c r="I102" s="147"/>
      <c r="J102" s="147"/>
      <c r="K102" s="147">
        <f>F102-30.6</f>
        <v>34.1</v>
      </c>
      <c r="L102" s="150">
        <f>F102/30.6*100</f>
        <v>211.43790849673204</v>
      </c>
      <c r="M102" s="40">
        <f t="shared" si="35"/>
        <v>0</v>
      </c>
      <c r="N102" s="40">
        <f t="shared" si="36"/>
        <v>64.7</v>
      </c>
      <c r="O102" s="53"/>
      <c r="P102" s="56"/>
      <c r="Q102" s="56">
        <f>N102-30.6</f>
        <v>34.1</v>
      </c>
      <c r="R102" s="137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0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5"/>
        <v>0</v>
      </c>
      <c r="N103" s="40">
        <f t="shared" si="36"/>
        <v>0</v>
      </c>
      <c r="O103" s="53">
        <f aca="true" t="shared" si="41" ref="O103:O109">N103-M103</f>
        <v>0</v>
      </c>
      <c r="P103" s="56"/>
      <c r="Q103" s="56"/>
      <c r="R103" s="137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0"/>
        <v>-42.79</v>
      </c>
      <c r="J104" s="56">
        <f aca="true" t="shared" si="42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5"/>
        <v>2.2</v>
      </c>
      <c r="N104" s="40">
        <f t="shared" si="36"/>
        <v>2.21</v>
      </c>
      <c r="O104" s="53">
        <f t="shared" si="41"/>
        <v>0.009999999999999787</v>
      </c>
      <c r="P104" s="56"/>
      <c r="Q104" s="56"/>
      <c r="R104" s="137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5"/>
        <v>0</v>
      </c>
      <c r="N105" s="40">
        <f t="shared" si="36"/>
        <v>0</v>
      </c>
      <c r="O105" s="53">
        <f t="shared" si="41"/>
        <v>0</v>
      </c>
      <c r="P105" s="56"/>
      <c r="Q105" s="56"/>
      <c r="R105" s="137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0"/>
        <v>-502271.9</v>
      </c>
      <c r="J106" s="36">
        <f t="shared" si="42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1"/>
        <v>-2060.899999999994</v>
      </c>
      <c r="P106" s="36">
        <f>N106/M106*100</f>
        <v>94.40412284917554</v>
      </c>
      <c r="Q106" s="36">
        <f>N106-34521.7</f>
        <v>246.3000000000029</v>
      </c>
      <c r="R106" s="138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0"/>
        <v>-392918.58</v>
      </c>
      <c r="J107" s="52">
        <f t="shared" si="42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1"/>
        <v>-2065.7800000000025</v>
      </c>
      <c r="P107" s="52">
        <f>N107/M107*100</f>
        <v>92.80551937422945</v>
      </c>
      <c r="Q107" s="52">
        <f>N107-26764.7</f>
        <v>-117.08000000000175</v>
      </c>
      <c r="R107" s="139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0"/>
        <v>-109353.32</v>
      </c>
      <c r="J108" s="52">
        <f t="shared" si="42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1"/>
        <v>4.880000000008295</v>
      </c>
      <c r="P108" s="52">
        <f>N108/M108*100</f>
        <v>100.06013184646673</v>
      </c>
      <c r="Q108" s="52">
        <f>N108-7757</f>
        <v>363.380000000001</v>
      </c>
      <c r="R108" s="139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0"/>
        <v>-392918.58</v>
      </c>
      <c r="J109" s="52">
        <f t="shared" si="42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1"/>
        <v>-2065.7800000000025</v>
      </c>
      <c r="P109" s="52">
        <f>N109/M109*100</f>
        <v>92.80551937422945</v>
      </c>
      <c r="Q109" s="52"/>
      <c r="R109" s="139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0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9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9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40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3" ref="G113:G125">F113-E113</f>
        <v>0.18</v>
      </c>
      <c r="H113" s="40"/>
      <c r="I113" s="60">
        <f aca="true" t="shared" si="44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5" ref="M113:N115">E113</f>
        <v>0</v>
      </c>
      <c r="N113" s="40">
        <f t="shared" si="45"/>
        <v>0.18</v>
      </c>
      <c r="O113" s="53"/>
      <c r="P113" s="60"/>
      <c r="Q113" s="60">
        <f>N113-0.09</f>
        <v>0.09</v>
      </c>
      <c r="R113" s="140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3"/>
        <v>0.04000000000000625</v>
      </c>
      <c r="H114" s="40">
        <f aca="true" t="shared" si="46" ref="H114:H125">F114/E114*100</f>
        <v>100.05873715124818</v>
      </c>
      <c r="I114" s="60">
        <f t="shared" si="44"/>
        <v>-3603.36</v>
      </c>
      <c r="J114" s="60">
        <f aca="true" t="shared" si="47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5"/>
        <v>68.1</v>
      </c>
      <c r="N114" s="40">
        <f t="shared" si="45"/>
        <v>68.14</v>
      </c>
      <c r="O114" s="53">
        <f aca="true" t="shared" si="48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40">
        <f>N114/246.7</f>
        <v>0.2762059181191731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3"/>
        <v>0.030000000000001137</v>
      </c>
      <c r="H115" s="40">
        <f t="shared" si="46"/>
        <v>100.12244897959184</v>
      </c>
      <c r="I115" s="60">
        <f t="shared" si="44"/>
        <v>-243.57000000000002</v>
      </c>
      <c r="J115" s="60">
        <f t="shared" si="47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5"/>
        <v>24.5</v>
      </c>
      <c r="N115" s="40">
        <f t="shared" si="45"/>
        <v>24.53</v>
      </c>
      <c r="O115" s="53">
        <f t="shared" si="48"/>
        <v>0.030000000000001137</v>
      </c>
      <c r="P115" s="60">
        <f>N115/M115*100</f>
        <v>100.12244897959184</v>
      </c>
      <c r="Q115" s="60">
        <f>N115-22.5</f>
        <v>2.030000000000001</v>
      </c>
      <c r="R115" s="140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3"/>
        <v>0.2500000000000142</v>
      </c>
      <c r="H116" s="72">
        <f t="shared" si="46"/>
        <v>100.26997840172787</v>
      </c>
      <c r="I116" s="61">
        <f t="shared" si="44"/>
        <v>-3846.75</v>
      </c>
      <c r="J116" s="61">
        <f t="shared" si="47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48"/>
        <v>0.2500000000000142</v>
      </c>
      <c r="P116" s="61">
        <f>N116/M116*100</f>
        <v>100.26997840172787</v>
      </c>
      <c r="Q116" s="61">
        <f>N116-270.1</f>
        <v>-177.25</v>
      </c>
      <c r="R116" s="141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3"/>
        <v>0</v>
      </c>
      <c r="H117" s="40" t="e">
        <f t="shared" si="46"/>
        <v>#DIV/0!</v>
      </c>
      <c r="I117" s="60">
        <f t="shared" si="44"/>
        <v>0</v>
      </c>
      <c r="J117" s="60" t="e">
        <f t="shared" si="47"/>
        <v>#DIV/0!</v>
      </c>
      <c r="K117" s="60"/>
      <c r="L117" s="60"/>
      <c r="M117" s="41">
        <v>0</v>
      </c>
      <c r="N117" s="41">
        <f aca="true" t="shared" si="49" ref="N117:N122">F117</f>
        <v>0</v>
      </c>
      <c r="O117" s="53">
        <f t="shared" si="48"/>
        <v>0</v>
      </c>
      <c r="P117" s="60" t="e">
        <f>N117/M117*100</f>
        <v>#DIV/0!</v>
      </c>
      <c r="Q117" s="60"/>
      <c r="R117" s="140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3"/>
        <v>54.32</v>
      </c>
      <c r="H118" s="40" t="e">
        <f t="shared" si="46"/>
        <v>#DIV/0!</v>
      </c>
      <c r="I118" s="60">
        <f t="shared" si="44"/>
        <v>54.32</v>
      </c>
      <c r="J118" s="60" t="e">
        <f t="shared" si="47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49"/>
        <v>54.32</v>
      </c>
      <c r="O118" s="53" t="s">
        <v>166</v>
      </c>
      <c r="P118" s="60"/>
      <c r="Q118" s="60">
        <f>N118-0.2</f>
        <v>54.12</v>
      </c>
      <c r="R118" s="140">
        <f>N118/0.2</f>
        <v>271.59999999999997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3"/>
        <v>0.2599999999993088</v>
      </c>
      <c r="H119" s="40">
        <f t="shared" si="46"/>
        <v>100.00347612171774</v>
      </c>
      <c r="I119" s="53">
        <f t="shared" si="44"/>
        <v>-18507.524999999998</v>
      </c>
      <c r="J119" s="60">
        <f t="shared" si="47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49"/>
        <v>7479.86</v>
      </c>
      <c r="O119" s="53">
        <f t="shared" si="48"/>
        <v>0.2599999999993088</v>
      </c>
      <c r="P119" s="60">
        <f aca="true" t="shared" si="50" ref="P119:P124">N119/M119*100</f>
        <v>100.00347612171774</v>
      </c>
      <c r="Q119" s="60">
        <f>N119-6357.6</f>
        <v>1122.2599999999993</v>
      </c>
      <c r="R119" s="140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3"/>
        <v>0.04</v>
      </c>
      <c r="H120" s="40" t="e">
        <f t="shared" si="46"/>
        <v>#DIV/0!</v>
      </c>
      <c r="I120" s="60">
        <f t="shared" si="44"/>
        <v>0.04</v>
      </c>
      <c r="J120" s="60" t="e">
        <f t="shared" si="47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49"/>
        <v>0.04</v>
      </c>
      <c r="O120" s="53">
        <f t="shared" si="48"/>
        <v>0.04</v>
      </c>
      <c r="P120" s="60" t="e">
        <f t="shared" si="50"/>
        <v>#DIV/0!</v>
      </c>
      <c r="Q120" s="60">
        <f>N120-230.3</f>
        <v>-230.26000000000002</v>
      </c>
      <c r="R120" s="140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3"/>
        <v>450.01</v>
      </c>
      <c r="H121" s="40" t="e">
        <f t="shared" si="46"/>
        <v>#DIV/0!</v>
      </c>
      <c r="I121" s="60">
        <f t="shared" si="44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49"/>
        <v>450.01</v>
      </c>
      <c r="O121" s="53">
        <f t="shared" si="48"/>
        <v>450.01</v>
      </c>
      <c r="P121" s="60" t="e">
        <f t="shared" si="50"/>
        <v>#DIV/0!</v>
      </c>
      <c r="Q121" s="60">
        <f>N121-238.5</f>
        <v>211.51</v>
      </c>
      <c r="R121" s="140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3"/>
        <v>1.05</v>
      </c>
      <c r="H122" s="40" t="e">
        <f t="shared" si="46"/>
        <v>#DIV/0!</v>
      </c>
      <c r="I122" s="60">
        <f t="shared" si="44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49"/>
        <v>1.05</v>
      </c>
      <c r="O122" s="53">
        <f t="shared" si="48"/>
        <v>1.05</v>
      </c>
      <c r="P122" s="60" t="e">
        <f t="shared" si="50"/>
        <v>#DIV/0!</v>
      </c>
      <c r="Q122" s="60">
        <f>N122-14.6</f>
        <v>-13.549999999999999</v>
      </c>
      <c r="R122" s="140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3"/>
        <v>505.6799999999994</v>
      </c>
      <c r="H123" s="72">
        <f t="shared" si="46"/>
        <v>106.76078934702389</v>
      </c>
      <c r="I123" s="61">
        <f t="shared" si="44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48"/>
        <v>505.6799999999994</v>
      </c>
      <c r="P123" s="61">
        <f t="shared" si="50"/>
        <v>106.76078934702389</v>
      </c>
      <c r="Q123" s="61">
        <f>N123-6841.1</f>
        <v>1144.1799999999994</v>
      </c>
      <c r="R123" s="141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3"/>
        <v>0</v>
      </c>
      <c r="H124" s="40">
        <f t="shared" si="46"/>
        <v>100</v>
      </c>
      <c r="I124" s="60">
        <f t="shared" si="44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1" ref="M124:N128">E124</f>
        <v>0.16</v>
      </c>
      <c r="N124" s="40">
        <f t="shared" si="51"/>
        <v>0.16</v>
      </c>
      <c r="O124" s="53">
        <f t="shared" si="48"/>
        <v>0</v>
      </c>
      <c r="P124" s="60">
        <f t="shared" si="50"/>
        <v>100</v>
      </c>
      <c r="Q124" s="60">
        <f>N124-0.3</f>
        <v>-0.13999999999999999</v>
      </c>
      <c r="R124" s="140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3"/>
        <v>0</v>
      </c>
      <c r="H125" s="40" t="e">
        <f t="shared" si="46"/>
        <v>#DIV/0!</v>
      </c>
      <c r="I125" s="63"/>
      <c r="J125" s="63"/>
      <c r="K125" s="63"/>
      <c r="L125" s="60">
        <f>F125</f>
        <v>0</v>
      </c>
      <c r="M125" s="40">
        <f t="shared" si="51"/>
        <v>0</v>
      </c>
      <c r="N125" s="40">
        <f t="shared" si="51"/>
        <v>0</v>
      </c>
      <c r="O125" s="53">
        <f t="shared" si="48"/>
        <v>0</v>
      </c>
      <c r="P125" s="63"/>
      <c r="Q125" s="63"/>
      <c r="R125" s="142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1"/>
        <v>7.2</v>
      </c>
      <c r="N126" s="40">
        <f t="shared" si="51"/>
        <v>8.76</v>
      </c>
      <c r="O126" s="53"/>
      <c r="P126" s="63"/>
      <c r="Q126" s="63">
        <f>N126-0</f>
        <v>8.76</v>
      </c>
      <c r="R126" s="142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2" ref="G127:G134">F127-E127</f>
        <v>0.2700000000000031</v>
      </c>
      <c r="H127" s="40">
        <f>F127/E127*100</f>
        <v>101.55172413793106</v>
      </c>
      <c r="I127" s="60">
        <f aca="true" t="shared" si="53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1"/>
        <v>17.4</v>
      </c>
      <c r="N127" s="40">
        <f t="shared" si="51"/>
        <v>17.67</v>
      </c>
      <c r="O127" s="53">
        <f aca="true" t="shared" si="54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40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2"/>
        <v>-0.21</v>
      </c>
      <c r="H128" s="40"/>
      <c r="I128" s="60">
        <f t="shared" si="53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1"/>
        <v>0</v>
      </c>
      <c r="N128" s="40">
        <f t="shared" si="51"/>
        <v>-0.21</v>
      </c>
      <c r="O128" s="53">
        <f t="shared" si="54"/>
        <v>-0.21</v>
      </c>
      <c r="P128" s="60"/>
      <c r="Q128" s="60">
        <f>N128-0.2</f>
        <v>-0.41000000000000003</v>
      </c>
      <c r="R128" s="140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2"/>
        <v>1.6200000000000045</v>
      </c>
      <c r="H129" s="72">
        <f>F129/E129*100</f>
        <v>106.54281098546043</v>
      </c>
      <c r="I129" s="61">
        <f t="shared" si="53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4"/>
        <v>1.6200000000000045</v>
      </c>
      <c r="P129" s="61">
        <f>N129/M129*100</f>
        <v>106.54281098546043</v>
      </c>
      <c r="Q129" s="61">
        <f>N129-84.8</f>
        <v>-58.419999999999995</v>
      </c>
      <c r="R129" s="139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5" ref="M130:N132">E130</f>
        <v>0.45</v>
      </c>
      <c r="N130" s="40">
        <f t="shared" si="55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40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5"/>
        <v>0</v>
      </c>
      <c r="N131" s="40">
        <f t="shared" si="55"/>
        <v>0</v>
      </c>
      <c r="O131" s="53"/>
      <c r="P131" s="60"/>
      <c r="Q131" s="60">
        <f>N131-0</f>
        <v>0</v>
      </c>
      <c r="R131" s="140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2"/>
        <v>0</v>
      </c>
      <c r="H132" s="40" t="e">
        <f>F132/E132*100</f>
        <v>#DIV/0!</v>
      </c>
      <c r="I132" s="60">
        <f t="shared" si="53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5"/>
        <v>0</v>
      </c>
      <c r="N132" s="40">
        <f t="shared" si="55"/>
        <v>0</v>
      </c>
      <c r="O132" s="53">
        <f t="shared" si="54"/>
        <v>0</v>
      </c>
      <c r="P132" s="60"/>
      <c r="Q132" s="60">
        <f>N132-(-60.1)</f>
        <v>60.1</v>
      </c>
      <c r="R132" s="140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2"/>
        <v>507.5499999999993</v>
      </c>
      <c r="H133" s="51">
        <f>F133/E133*100</f>
        <v>106.68056614030306</v>
      </c>
      <c r="I133" s="36">
        <f t="shared" si="53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4"/>
        <v>507.5499999999993</v>
      </c>
      <c r="P133" s="36">
        <f>N133/M133*100</f>
        <v>106.68056614030306</v>
      </c>
      <c r="Q133" s="36">
        <f>N133-7196.4</f>
        <v>908.5600000000004</v>
      </c>
      <c r="R133" s="138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2"/>
        <v>-1553.3499999999985</v>
      </c>
      <c r="H134" s="51">
        <f>F134/E134*100</f>
        <v>96.50353585521732</v>
      </c>
      <c r="I134" s="36">
        <f t="shared" si="53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4"/>
        <v>-1553.3499999999985</v>
      </c>
      <c r="P134" s="36">
        <f>N134/M134*100</f>
        <v>96.50353585521732</v>
      </c>
      <c r="Q134" s="36">
        <f>N134-41718.2</f>
        <v>1154.760000000002</v>
      </c>
      <c r="R134" s="138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P3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2014-03-04T14:00:59Z</cp:lastPrinted>
  <dcterms:created xsi:type="dcterms:W3CDTF">2003-07-28T11:27:56Z</dcterms:created>
  <dcterms:modified xsi:type="dcterms:W3CDTF">2014-03-05T09:41:58Z</dcterms:modified>
  <cp:category/>
  <cp:version/>
  <cp:contentType/>
  <cp:contentStatus/>
</cp:coreProperties>
</file>